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65 à 128 (2)" sheetId="1" r:id="rId1"/>
    <sheet name="1 à 32" sheetId="2" r:id="rId2"/>
    <sheet name="33 à 64" sheetId="3" r:id="rId3"/>
    <sheet name="65 à 128" sheetId="4" r:id="rId4"/>
    <sheet name="129 à 256" sheetId="5" r:id="rId5"/>
    <sheet name="NATIONAL 129 à 256 Poules" sheetId="6" r:id="rId6"/>
    <sheet name="NATIONAL 257 à 512 Poules" sheetId="7" r:id="rId7"/>
    <sheet name="POULE-Concours-Consolante" sheetId="8" r:id="rId8"/>
    <sheet name="NATIONAL 129 à 256" sheetId="9" r:id="rId9"/>
    <sheet name="NATIONAL 257 à 512" sheetId="10" r:id="rId10"/>
  </sheets>
  <definedNames>
    <definedName name="_xlnm.Print_Area" localSheetId="3">'65 à 128'!$A$1:$G$18</definedName>
    <definedName name="_xlnm.Print_Area" localSheetId="0">'65 à 128 (2)'!$A$1:$G$18</definedName>
    <definedName name="_xlnm.Print_Area" localSheetId="5">'NATIONAL 129 à 256 Poules'!$A$1:$D$14</definedName>
    <definedName name="_xlnm.Print_Area" localSheetId="6">'NATIONAL 257 à 512 Poules'!$A$1:$D$15</definedName>
  </definedNames>
  <calcPr fullCalcOnLoad="1"/>
</workbook>
</file>

<file path=xl/sharedStrings.xml><?xml version="1.0" encoding="utf-8"?>
<sst xmlns="http://schemas.openxmlformats.org/spreadsheetml/2006/main" count="315" uniqueCount="46">
  <si>
    <t>Equipes à</t>
  </si>
  <si>
    <t>Frais d'arbitrage</t>
  </si>
  <si>
    <t>Participation Club</t>
  </si>
  <si>
    <t>Total à redistribuer</t>
  </si>
  <si>
    <t>Gagnant</t>
  </si>
  <si>
    <t>Finaliste</t>
  </si>
  <si>
    <t>1/8 Finale</t>
  </si>
  <si>
    <t>1/4 Finale</t>
  </si>
  <si>
    <t>1/2 Finale</t>
  </si>
  <si>
    <t>1/16 Finale</t>
  </si>
  <si>
    <t>Cadrage</t>
  </si>
  <si>
    <t>TOTAL REDISTRIBUE</t>
  </si>
  <si>
    <t>Total Mise Joueur</t>
  </si>
  <si>
    <t>%</t>
  </si>
  <si>
    <t>Supplément</t>
  </si>
  <si>
    <t>2X</t>
  </si>
  <si>
    <t>4X</t>
  </si>
  <si>
    <t>8X</t>
  </si>
  <si>
    <t>16X</t>
  </si>
  <si>
    <t>TOTAL</t>
  </si>
  <si>
    <t>1X</t>
  </si>
  <si>
    <t>FEUILLE INDEMNITES NATIONAL 129 à 256</t>
  </si>
  <si>
    <t>Après Poules</t>
  </si>
  <si>
    <t>FEUILLE INDEMNITES NATIONAL 257 à 512</t>
  </si>
  <si>
    <t>32X</t>
  </si>
  <si>
    <t>1/32 Finale</t>
  </si>
  <si>
    <t>FEUILLE INDEMNITES POULE puis CONCOURS/CONSOLANTE</t>
  </si>
  <si>
    <t>Participation Club (%)</t>
  </si>
  <si>
    <t>129 à 256</t>
  </si>
  <si>
    <t>CONCOURS B</t>
  </si>
  <si>
    <t>CONCOURS A</t>
  </si>
  <si>
    <t>CONCOURS (55%)</t>
  </si>
  <si>
    <t>CONCOURS C (10%)</t>
  </si>
  <si>
    <t>CONCOURS B (35%)</t>
  </si>
  <si>
    <t>FEUILLE INDEMNITES ABC 1 à 32</t>
  </si>
  <si>
    <t>FEUILLE INDEMNITES ABC 33 à64</t>
  </si>
  <si>
    <t>FEUILLE INDEMNITES ABC 65 à 128</t>
  </si>
  <si>
    <t>2ème Tour</t>
  </si>
  <si>
    <t>1er TOUR</t>
  </si>
  <si>
    <t>2 ème tour</t>
  </si>
  <si>
    <t>Proposition</t>
  </si>
  <si>
    <t>Maxi gagnant</t>
  </si>
  <si>
    <t>Maxi/Mini</t>
  </si>
  <si>
    <t>Mini finaliste</t>
  </si>
  <si>
    <t>FEUILLE INDEMNITES  65 à 128</t>
  </si>
  <si>
    <t>FEUILLE INDEMNITES 129 à256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</si>
</sst>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]_-;\-* #,##0.00\ [$€]_-;_-* &quot;-&quot;??\ [$€]_-;_-@_-"/>
    <numFmt numFmtId="173" formatCode="_-* #,##0.00\ [$€-81D]_-;\-* #,##0.00\ [$€-81D]_-;_-* &quot;-&quot;??\ [$€-81D]_-;_-@_-"/>
    <numFmt numFmtId="174" formatCode="#,##0_ ;\-#,##0\ "/>
    <numFmt numFmtId="175" formatCode="_-* #,##0.000\ [$€-81D]_-;\-* #,##0.000\ [$€-81D]_-;_-* &quot;-&quot;???\ [$€-81D]_-;_-@_-"/>
    <numFmt numFmtId="176" formatCode="_-* #,##0.0000\ [$€-81D]_-;\-* #,##0.0000\ [$€-81D]_-;_-* &quot;-&quot;????\ [$€-81D]_-;_-@_-"/>
    <numFmt numFmtId="177" formatCode="_-* #,##0.00\ [$€-40C]_-;\-* #,##0.00\ [$€-40C]_-;_-* &quot;-&quot;??\ [$€-40C]_-;_-@_-"/>
  </numFmts>
  <fonts count="2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6"/>
      <color indexed="10"/>
      <name val="Arial"/>
      <family val="2"/>
    </font>
    <font>
      <b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172" fontId="0" fillId="0" borderId="0" applyFon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1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172" fontId="1" fillId="0" borderId="14" xfId="44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2" fontId="1" fillId="0" borderId="13" xfId="44" applyFont="1" applyBorder="1" applyAlignment="1">
      <alignment horizontal="right" vertical="center"/>
    </xf>
    <xf numFmtId="172" fontId="1" fillId="0" borderId="13" xfId="44" applyFont="1" applyBorder="1" applyAlignment="1">
      <alignment vertical="center"/>
    </xf>
    <xf numFmtId="172" fontId="1" fillId="0" borderId="15" xfId="44" applyFont="1" applyBorder="1" applyAlignment="1">
      <alignment vertical="center"/>
    </xf>
    <xf numFmtId="0" fontId="1" fillId="20" borderId="13" xfId="0" applyFont="1" applyFill="1" applyBorder="1" applyAlignment="1">
      <alignment vertical="center"/>
    </xf>
    <xf numFmtId="172" fontId="1" fillId="20" borderId="15" xfId="44" applyFont="1" applyFill="1" applyBorder="1" applyAlignment="1">
      <alignment vertical="center"/>
    </xf>
    <xf numFmtId="172" fontId="1" fillId="22" borderId="14" xfId="44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4" fontId="1" fillId="0" borderId="13" xfId="44" applyNumberFormat="1" applyFont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172" fontId="1" fillId="20" borderId="17" xfId="4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" fillId="22" borderId="14" xfId="51" applyNumberFormat="1" applyFont="1" applyFill="1" applyBorder="1" applyAlignment="1">
      <alignment horizontal="center" vertical="center"/>
    </xf>
    <xf numFmtId="172" fontId="1" fillId="20" borderId="13" xfId="44" applyFont="1" applyFill="1" applyBorder="1" applyAlignment="1">
      <alignment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172" fontId="1" fillId="0" borderId="15" xfId="44" applyFont="1" applyBorder="1" applyAlignment="1">
      <alignment horizontal="right" vertical="center"/>
    </xf>
    <xf numFmtId="172" fontId="1" fillId="22" borderId="18" xfId="44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2" fontId="1" fillId="0" borderId="21" xfId="44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2" fontId="1" fillId="0" borderId="24" xfId="44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72" fontId="1" fillId="0" borderId="30" xfId="44" applyFont="1" applyBorder="1" applyAlignment="1">
      <alignment vertical="center"/>
    </xf>
    <xf numFmtId="172" fontId="1" fillId="0" borderId="31" xfId="0" applyNumberFormat="1" applyFont="1" applyBorder="1" applyAlignment="1">
      <alignment horizontal="center" vertical="center"/>
    </xf>
    <xf numFmtId="172" fontId="1" fillId="0" borderId="32" xfId="0" applyNumberFormat="1" applyFont="1" applyBorder="1" applyAlignment="1">
      <alignment horizontal="center" vertical="center"/>
    </xf>
    <xf numFmtId="173" fontId="1" fillId="0" borderId="32" xfId="0" applyNumberFormat="1" applyFont="1" applyBorder="1" applyAlignment="1">
      <alignment horizontal="center" vertical="center"/>
    </xf>
    <xf numFmtId="173" fontId="1" fillId="0" borderId="33" xfId="0" applyNumberFormat="1" applyFont="1" applyBorder="1" applyAlignment="1">
      <alignment horizontal="center" vertical="center"/>
    </xf>
    <xf numFmtId="173" fontId="1" fillId="0" borderId="34" xfId="0" applyNumberFormat="1" applyFont="1" applyBorder="1" applyAlignment="1">
      <alignment horizontal="center" vertical="center"/>
    </xf>
    <xf numFmtId="173" fontId="3" fillId="0" borderId="34" xfId="0" applyNumberFormat="1" applyFont="1" applyBorder="1" applyAlignment="1">
      <alignment horizontal="center" vertical="center"/>
    </xf>
    <xf numFmtId="172" fontId="1" fillId="22" borderId="13" xfId="44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72" fontId="1" fillId="0" borderId="15" xfId="0" applyNumberFormat="1" applyFont="1" applyBorder="1" applyAlignment="1">
      <alignment horizontal="center" vertical="center"/>
    </xf>
    <xf numFmtId="173" fontId="1" fillId="0" borderId="1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72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172" fontId="1" fillId="0" borderId="13" xfId="44" applyFont="1" applyFill="1" applyBorder="1" applyAlignment="1">
      <alignment vertical="center"/>
    </xf>
    <xf numFmtId="0" fontId="1" fillId="20" borderId="28" xfId="0" applyFont="1" applyFill="1" applyBorder="1" applyAlignment="1">
      <alignment horizontal="center" vertical="center"/>
    </xf>
    <xf numFmtId="174" fontId="1" fillId="20" borderId="13" xfId="44" applyNumberFormat="1" applyFont="1" applyFill="1" applyBorder="1" applyAlignment="1">
      <alignment horizontal="center" vertical="center"/>
    </xf>
    <xf numFmtId="173" fontId="1" fillId="20" borderId="18" xfId="0" applyNumberFormat="1" applyFont="1" applyFill="1" applyBorder="1" applyAlignment="1">
      <alignment horizontal="center" vertical="center"/>
    </xf>
    <xf numFmtId="0" fontId="1" fillId="20" borderId="35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172" fontId="1" fillId="20" borderId="30" xfId="44" applyFont="1" applyFill="1" applyBorder="1" applyAlignment="1">
      <alignment vertical="center"/>
    </xf>
    <xf numFmtId="173" fontId="1" fillId="20" borderId="41" xfId="0" applyNumberFormat="1" applyFont="1" applyFill="1" applyBorder="1" applyAlignment="1">
      <alignment horizontal="center" vertical="center"/>
    </xf>
    <xf numFmtId="172" fontId="1" fillId="22" borderId="30" xfId="44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0" applyFont="1" applyBorder="1" applyAlignment="1">
      <alignment vertical="center"/>
    </xf>
    <xf numFmtId="0" fontId="0" fillId="0" borderId="44" xfId="0" applyBorder="1" applyAlignment="1">
      <alignment/>
    </xf>
    <xf numFmtId="173" fontId="4" fillId="0" borderId="33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172" fontId="5" fillId="24" borderId="14" xfId="44" applyFont="1" applyFill="1" applyBorder="1" applyAlignment="1">
      <alignment vertical="center"/>
    </xf>
    <xf numFmtId="172" fontId="1" fillId="24" borderId="13" xfId="44" applyFont="1" applyFill="1" applyBorder="1" applyAlignment="1">
      <alignment vertical="center"/>
    </xf>
    <xf numFmtId="172" fontId="1" fillId="10" borderId="13" xfId="44" applyFont="1" applyFill="1" applyBorder="1" applyAlignment="1">
      <alignment horizontal="center" vertical="center"/>
    </xf>
    <xf numFmtId="172" fontId="1" fillId="10" borderId="17" xfId="44" applyFont="1" applyFill="1" applyBorder="1" applyAlignment="1">
      <alignment horizontal="center" vertical="center"/>
    </xf>
    <xf numFmtId="172" fontId="1" fillId="7" borderId="13" xfId="44" applyFont="1" applyFill="1" applyBorder="1" applyAlignment="1">
      <alignment vertical="center"/>
    </xf>
    <xf numFmtId="172" fontId="1" fillId="7" borderId="15" xfId="44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172" fontId="1" fillId="22" borderId="23" xfId="44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0" fontId="0" fillId="0" borderId="22" xfId="0" applyBorder="1" applyAlignment="1">
      <alignment/>
    </xf>
    <xf numFmtId="172" fontId="1" fillId="7" borderId="14" xfId="44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72" fontId="1" fillId="22" borderId="50" xfId="44" applyFont="1" applyFill="1" applyBorder="1" applyAlignment="1">
      <alignment vertical="center"/>
    </xf>
    <xf numFmtId="173" fontId="1" fillId="0" borderId="51" xfId="0" applyNumberFormat="1" applyFont="1" applyBorder="1" applyAlignment="1">
      <alignment horizontal="center" vertical="center"/>
    </xf>
    <xf numFmtId="173" fontId="1" fillId="0" borderId="18" xfId="0" applyNumberFormat="1" applyFont="1" applyBorder="1" applyAlignment="1">
      <alignment horizontal="center" vertical="center"/>
    </xf>
    <xf numFmtId="172" fontId="6" fillId="0" borderId="18" xfId="44" applyFont="1" applyBorder="1" applyAlignment="1">
      <alignment horizontal="center" vertical="center"/>
    </xf>
    <xf numFmtId="172" fontId="1" fillId="0" borderId="19" xfId="44" applyFont="1" applyBorder="1" applyAlignment="1">
      <alignment vertical="center"/>
    </xf>
    <xf numFmtId="172" fontId="1" fillId="2" borderId="52" xfId="44" applyFont="1" applyFill="1" applyBorder="1" applyAlignment="1">
      <alignment horizontal="center" vertical="center"/>
    </xf>
    <xf numFmtId="172" fontId="1" fillId="2" borderId="52" xfId="44" applyFont="1" applyFill="1" applyBorder="1" applyAlignment="1">
      <alignment vertical="center"/>
    </xf>
    <xf numFmtId="172" fontId="1" fillId="7" borderId="24" xfId="44" applyFont="1" applyFill="1" applyBorder="1" applyAlignment="1">
      <alignment vertical="center"/>
    </xf>
    <xf numFmtId="172" fontId="1" fillId="7" borderId="13" xfId="44" applyFont="1" applyFill="1" applyBorder="1" applyAlignment="1">
      <alignment vertical="center"/>
    </xf>
    <xf numFmtId="172" fontId="1" fillId="7" borderId="30" xfId="44" applyFont="1" applyFill="1" applyBorder="1" applyAlignment="1">
      <alignment vertical="center"/>
    </xf>
    <xf numFmtId="173" fontId="3" fillId="7" borderId="34" xfId="0" applyNumberFormat="1" applyFont="1" applyFill="1" applyBorder="1" applyAlignment="1">
      <alignment horizontal="center" vertical="center"/>
    </xf>
    <xf numFmtId="172" fontId="1" fillId="4" borderId="52" xfId="44" applyFont="1" applyFill="1" applyBorder="1" applyAlignment="1">
      <alignment vertical="center"/>
    </xf>
    <xf numFmtId="172" fontId="1" fillId="22" borderId="18" xfId="44" applyFont="1" applyFill="1" applyBorder="1" applyAlignment="1" applyProtection="1">
      <alignment vertical="center"/>
      <protection locked="0"/>
    </xf>
    <xf numFmtId="172" fontId="1" fillId="22" borderId="14" xfId="44" applyFont="1" applyFill="1" applyBorder="1" applyAlignment="1" applyProtection="1">
      <alignment vertical="center"/>
      <protection locked="0"/>
    </xf>
    <xf numFmtId="172" fontId="1" fillId="0" borderId="31" xfId="0" applyNumberFormat="1" applyFont="1" applyBorder="1" applyAlignment="1" applyProtection="1">
      <alignment horizontal="center" vertical="center"/>
      <protection locked="0"/>
    </xf>
    <xf numFmtId="172" fontId="1" fillId="25" borderId="13" xfId="44" applyFont="1" applyFill="1" applyBorder="1" applyAlignment="1" applyProtection="1">
      <alignment vertical="center"/>
      <protection locked="0"/>
    </xf>
    <xf numFmtId="172" fontId="1" fillId="25" borderId="30" xfId="44" applyFont="1" applyFill="1" applyBorder="1" applyAlignment="1" applyProtection="1">
      <alignment vertical="center"/>
      <protection locked="0"/>
    </xf>
    <xf numFmtId="0" fontId="1" fillId="22" borderId="22" xfId="0" applyFont="1" applyFill="1" applyBorder="1" applyAlignment="1">
      <alignment horizontal="right" vertical="center"/>
    </xf>
    <xf numFmtId="0" fontId="1" fillId="22" borderId="23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2" fontId="1" fillId="22" borderId="10" xfId="44" applyFont="1" applyFill="1" applyBorder="1" applyAlignment="1">
      <alignment horizontal="center" vertical="center"/>
    </xf>
    <xf numFmtId="172" fontId="1" fillId="22" borderId="18" xfId="44" applyFont="1" applyFill="1" applyBorder="1" applyAlignment="1">
      <alignment horizontal="center" vertical="center"/>
    </xf>
    <xf numFmtId="172" fontId="6" fillId="0" borderId="11" xfId="44" applyFont="1" applyBorder="1" applyAlignment="1">
      <alignment horizontal="center" vertical="center"/>
    </xf>
    <xf numFmtId="172" fontId="6" fillId="0" borderId="10" xfId="44" applyFont="1" applyBorder="1" applyAlignment="1">
      <alignment horizontal="center" vertical="center"/>
    </xf>
    <xf numFmtId="0" fontId="1" fillId="22" borderId="11" xfId="0" applyFont="1" applyFill="1" applyBorder="1" applyAlignment="1" applyProtection="1">
      <alignment horizontal="right" vertical="center"/>
      <protection locked="0"/>
    </xf>
    <xf numFmtId="0" fontId="1" fillId="22" borderId="10" xfId="0" applyFont="1" applyFill="1" applyBorder="1" applyAlignment="1" applyProtection="1">
      <alignment horizontal="right" vertical="center"/>
      <protection locked="0"/>
    </xf>
    <xf numFmtId="0" fontId="24" fillId="7" borderId="52" xfId="0" applyFont="1" applyFill="1" applyBorder="1" applyAlignment="1">
      <alignment horizontal="center" vertical="center"/>
    </xf>
    <xf numFmtId="172" fontId="1" fillId="2" borderId="52" xfId="44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22" borderId="11" xfId="0" applyFont="1" applyFill="1" applyBorder="1" applyAlignment="1">
      <alignment horizontal="right" vertical="center"/>
    </xf>
    <xf numFmtId="0" fontId="1" fillId="22" borderId="10" xfId="0" applyFont="1" applyFill="1" applyBorder="1" applyAlignment="1">
      <alignment horizontal="right" vertical="center"/>
    </xf>
    <xf numFmtId="172" fontId="1" fillId="0" borderId="56" xfId="44" applyFont="1" applyBorder="1" applyAlignment="1">
      <alignment horizontal="center" vertical="center"/>
    </xf>
    <xf numFmtId="172" fontId="1" fillId="0" borderId="16" xfId="44" applyFont="1" applyBorder="1" applyAlignment="1">
      <alignment horizontal="center" vertical="center"/>
    </xf>
    <xf numFmtId="172" fontId="1" fillId="0" borderId="18" xfId="44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75" zoomScaleNormal="75" zoomScalePageLayoutView="0" workbookViewId="0" topLeftCell="A1">
      <selection activeCell="E12" sqref="E12"/>
    </sheetView>
  </sheetViews>
  <sheetFormatPr defaultColWidth="11.421875" defaultRowHeight="12.75"/>
  <cols>
    <col min="1" max="1" width="27.00390625" style="0" bestFit="1" customWidth="1"/>
    <col min="2" max="2" width="7.140625" style="0" bestFit="1" customWidth="1"/>
    <col min="3" max="3" width="18.140625" style="0" bestFit="1" customWidth="1"/>
    <col min="4" max="4" width="31.57421875" style="0" bestFit="1" customWidth="1"/>
    <col min="5" max="5" width="18.140625" style="0" bestFit="1" customWidth="1"/>
    <col min="6" max="6" width="31.7109375" style="0" bestFit="1" customWidth="1"/>
    <col min="7" max="7" width="15.421875" style="0" bestFit="1" customWidth="1"/>
  </cols>
  <sheetData>
    <row r="1" spans="1:7" ht="49.5" customHeight="1" thickBot="1">
      <c r="A1" s="120" t="s">
        <v>36</v>
      </c>
      <c r="B1" s="121"/>
      <c r="C1" s="121"/>
      <c r="D1" s="121"/>
      <c r="E1" s="121"/>
      <c r="F1" s="121"/>
      <c r="G1" s="122"/>
    </row>
    <row r="2" spans="1:7" ht="49.5" customHeight="1" thickBot="1">
      <c r="A2" s="114">
        <v>87</v>
      </c>
      <c r="B2" s="115"/>
      <c r="C2" s="83" t="s">
        <v>0</v>
      </c>
      <c r="D2" s="123">
        <v>12</v>
      </c>
      <c r="E2" s="124"/>
      <c r="F2" s="87"/>
      <c r="G2" s="69"/>
    </row>
    <row r="3" spans="1:7" ht="49.5" customHeight="1" thickBot="1">
      <c r="A3" s="2" t="s">
        <v>12</v>
      </c>
      <c r="B3" s="3"/>
      <c r="C3" s="3"/>
      <c r="D3" s="3"/>
      <c r="E3" s="8">
        <f>A2*D2</f>
        <v>1044</v>
      </c>
      <c r="F3" s="88"/>
      <c r="G3" s="70"/>
    </row>
    <row r="4" spans="1:7" ht="49.5" customHeight="1" thickBot="1">
      <c r="A4" s="2" t="s">
        <v>1</v>
      </c>
      <c r="B4" s="3"/>
      <c r="C4" s="3"/>
      <c r="D4" s="3"/>
      <c r="E4" s="90">
        <v>38</v>
      </c>
      <c r="F4" s="88"/>
      <c r="G4" s="70"/>
    </row>
    <row r="5" spans="1:7" ht="49.5" customHeight="1" thickBot="1">
      <c r="A5" s="2" t="s">
        <v>2</v>
      </c>
      <c r="B5" s="3"/>
      <c r="C5" s="22">
        <v>25</v>
      </c>
      <c r="D5" s="3" t="s">
        <v>13</v>
      </c>
      <c r="E5" s="8">
        <f>(E3-E4)*C5/100</f>
        <v>251.5</v>
      </c>
      <c r="F5" s="88"/>
      <c r="G5" s="70"/>
    </row>
    <row r="6" spans="1:7" ht="49.5" customHeight="1" thickBot="1">
      <c r="A6" s="2" t="s">
        <v>14</v>
      </c>
      <c r="B6" s="3"/>
      <c r="C6" s="3"/>
      <c r="D6" s="3"/>
      <c r="E6" s="15">
        <v>0</v>
      </c>
      <c r="F6" s="88"/>
      <c r="G6" s="70"/>
    </row>
    <row r="7" spans="1:7" ht="49.5" customHeight="1" thickBot="1">
      <c r="A7" s="2" t="s">
        <v>3</v>
      </c>
      <c r="B7" s="3"/>
      <c r="C7" s="3"/>
      <c r="D7" s="3"/>
      <c r="E7" s="8">
        <f>E3+E5+E6</f>
        <v>1295.5</v>
      </c>
      <c r="F7" s="88"/>
      <c r="G7" s="70"/>
    </row>
    <row r="8" spans="1:7" ht="49.5" customHeight="1" thickBot="1">
      <c r="A8" s="118" t="s">
        <v>31</v>
      </c>
      <c r="B8" s="119"/>
      <c r="C8" s="79">
        <f>E7*0.55</f>
        <v>712.5250000000001</v>
      </c>
      <c r="D8" s="19"/>
      <c r="E8" s="20"/>
      <c r="F8" s="88"/>
      <c r="G8" s="70"/>
    </row>
    <row r="9" spans="1:7" ht="49.5" customHeight="1" thickBot="1">
      <c r="A9" s="4" t="s">
        <v>10</v>
      </c>
      <c r="B9" s="18">
        <f>IF(MOD(A2,4)=0,(A2/4-16),(ROUNDUP(A2/4,0))-16)</f>
        <v>6</v>
      </c>
      <c r="C9" s="11">
        <f>B9*D2</f>
        <v>72</v>
      </c>
      <c r="D9" s="13"/>
      <c r="E9" s="14"/>
      <c r="F9" s="89"/>
      <c r="G9" s="74"/>
    </row>
    <row r="10" spans="1:7" ht="49.5" customHeight="1" thickBot="1">
      <c r="A10" s="118" t="s">
        <v>30</v>
      </c>
      <c r="B10" s="119"/>
      <c r="C10" s="78">
        <f>C8-C9</f>
        <v>640.5250000000001</v>
      </c>
      <c r="D10" s="5" t="s">
        <v>33</v>
      </c>
      <c r="E10" s="80">
        <f>E7*0.35</f>
        <v>453.42499999999995</v>
      </c>
      <c r="F10" s="86" t="s">
        <v>32</v>
      </c>
      <c r="G10" s="80">
        <f>E7*0.1</f>
        <v>129.55</v>
      </c>
    </row>
    <row r="11" spans="1:7" ht="49.5" customHeight="1" thickBot="1">
      <c r="A11" s="4" t="s">
        <v>4</v>
      </c>
      <c r="B11" s="16" t="s">
        <v>20</v>
      </c>
      <c r="C11" s="10">
        <v>130</v>
      </c>
      <c r="D11" s="5" t="s">
        <v>4</v>
      </c>
      <c r="E11" s="10">
        <v>100</v>
      </c>
      <c r="F11" s="5" t="s">
        <v>4</v>
      </c>
      <c r="G11" s="26">
        <v>45</v>
      </c>
    </row>
    <row r="12" spans="1:7" ht="49.5" customHeight="1" thickBot="1">
      <c r="A12" s="4" t="s">
        <v>5</v>
      </c>
      <c r="B12" s="16" t="s">
        <v>20</v>
      </c>
      <c r="C12" s="11">
        <v>100</v>
      </c>
      <c r="D12" s="5" t="s">
        <v>5</v>
      </c>
      <c r="E12" s="11">
        <v>70</v>
      </c>
      <c r="F12" s="5" t="s">
        <v>5</v>
      </c>
      <c r="G12" s="12">
        <v>30</v>
      </c>
    </row>
    <row r="13" spans="1:7" ht="49.5" customHeight="1" thickBot="1">
      <c r="A13" s="4" t="s">
        <v>8</v>
      </c>
      <c r="B13" s="16" t="s">
        <v>15</v>
      </c>
      <c r="C13" s="11">
        <v>60</v>
      </c>
      <c r="D13" s="5" t="s">
        <v>8</v>
      </c>
      <c r="E13" s="11">
        <v>45</v>
      </c>
      <c r="F13" s="5" t="s">
        <v>8</v>
      </c>
      <c r="G13" s="12">
        <v>21</v>
      </c>
    </row>
    <row r="14" spans="1:7" ht="49.5" customHeight="1" thickBot="1">
      <c r="A14" s="91" t="s">
        <v>7</v>
      </c>
      <c r="B14" s="92" t="s">
        <v>16</v>
      </c>
      <c r="C14" s="11">
        <v>30</v>
      </c>
      <c r="D14" s="93" t="s">
        <v>7</v>
      </c>
      <c r="E14" s="11">
        <v>21</v>
      </c>
      <c r="F14" s="19"/>
      <c r="G14" s="14"/>
    </row>
    <row r="15" spans="1:7" ht="49.5" customHeight="1" thickBot="1">
      <c r="A15" s="91" t="s">
        <v>6</v>
      </c>
      <c r="B15" s="92" t="s">
        <v>17</v>
      </c>
      <c r="C15" s="11">
        <v>21</v>
      </c>
      <c r="D15" s="93" t="s">
        <v>6</v>
      </c>
      <c r="E15" s="11">
        <v>15</v>
      </c>
      <c r="F15" s="19"/>
      <c r="G15" s="14"/>
    </row>
    <row r="16" spans="1:7" ht="49.5" customHeight="1" thickBot="1">
      <c r="A16" s="24" t="s">
        <v>9</v>
      </c>
      <c r="B16" s="25" t="s">
        <v>18</v>
      </c>
      <c r="C16" s="23"/>
      <c r="D16" s="19" t="s">
        <v>9</v>
      </c>
      <c r="E16" s="14"/>
      <c r="F16" s="19"/>
      <c r="G16" s="14"/>
    </row>
    <row r="17" spans="1:7" ht="49.5" customHeight="1" thickBot="1">
      <c r="A17" s="6" t="s">
        <v>19</v>
      </c>
      <c r="B17" s="17"/>
      <c r="C17" s="81">
        <f>C11+C12+(C13*2)+(C14*4)+(C15*8)+(C16*16)+C9</f>
        <v>710</v>
      </c>
      <c r="D17" s="7"/>
      <c r="E17" s="82">
        <f>E11+E12+(E13*2)+(E14*4)+(E15*8)+(E16*16)</f>
        <v>464</v>
      </c>
      <c r="F17" s="7"/>
      <c r="G17" s="82">
        <f>G11+G12+(G13*2)+(G14*4)+(G15*8)+(G16*16)</f>
        <v>117</v>
      </c>
    </row>
    <row r="18" spans="1:7" ht="49.5" customHeight="1" thickBot="1">
      <c r="A18" s="116" t="s">
        <v>11</v>
      </c>
      <c r="B18" s="117"/>
      <c r="C18" s="117"/>
      <c r="D18" s="117"/>
      <c r="E18" s="125">
        <f>C17+E17+G17</f>
        <v>1291</v>
      </c>
      <c r="F18" s="126"/>
      <c r="G18" s="100"/>
    </row>
  </sheetData>
  <sheetProtection/>
  <mergeCells count="7">
    <mergeCell ref="A2:B2"/>
    <mergeCell ref="A18:D18"/>
    <mergeCell ref="A10:B10"/>
    <mergeCell ref="A1:G1"/>
    <mergeCell ref="D2:E2"/>
    <mergeCell ref="A8:B8"/>
    <mergeCell ref="E18:G18"/>
  </mergeCells>
  <printOptions horizontalCentered="1" verticalCentered="1"/>
  <pageMargins left="0.35433070866141736" right="0.5118110236220472" top="0.3937007874015748" bottom="0.2755905511811024" header="0.3937007874015748" footer="0.2755905511811024"/>
  <pageSetup fitToHeight="1" fitToWidth="1" horizontalDpi="300" verticalDpi="3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zoomScalePageLayoutView="0" workbookViewId="0" topLeftCell="A7">
      <selection activeCell="G7" sqref="G7"/>
    </sheetView>
  </sheetViews>
  <sheetFormatPr defaultColWidth="11.421875" defaultRowHeight="12.75"/>
  <cols>
    <col min="1" max="1" width="32.7109375" style="0" customWidth="1"/>
    <col min="2" max="2" width="15.421875" style="0" bestFit="1" customWidth="1"/>
    <col min="3" max="3" width="18.00390625" style="0" bestFit="1" customWidth="1"/>
    <col min="4" max="4" width="34.7109375" style="0" customWidth="1"/>
  </cols>
  <sheetData>
    <row r="1" spans="1:4" ht="49.5" customHeight="1" thickBot="1">
      <c r="A1" s="120" t="s">
        <v>23</v>
      </c>
      <c r="B1" s="121"/>
      <c r="C1" s="121"/>
      <c r="D1" s="122"/>
    </row>
    <row r="2" spans="1:4" ht="49.5" customHeight="1" thickBot="1">
      <c r="A2" s="136">
        <v>300</v>
      </c>
      <c r="B2" s="137"/>
      <c r="C2" s="1" t="s">
        <v>0</v>
      </c>
      <c r="D2" s="27">
        <v>15</v>
      </c>
    </row>
    <row r="3" spans="1:4" ht="49.5" customHeight="1" thickBot="1">
      <c r="A3" s="2" t="s">
        <v>12</v>
      </c>
      <c r="B3" s="3"/>
      <c r="C3" s="3"/>
      <c r="D3" s="8">
        <f>A2*D2</f>
        <v>4500</v>
      </c>
    </row>
    <row r="4" spans="1:4" ht="49.5" customHeight="1" thickBot="1">
      <c r="A4" s="2" t="s">
        <v>14</v>
      </c>
      <c r="B4" s="3"/>
      <c r="C4" s="3"/>
      <c r="D4" s="15">
        <v>3750</v>
      </c>
    </row>
    <row r="5" spans="1:4" ht="49.5" customHeight="1" thickBot="1">
      <c r="A5" s="28" t="s">
        <v>3</v>
      </c>
      <c r="B5" s="29"/>
      <c r="C5" s="29"/>
      <c r="D5" s="30">
        <f>D3+D4</f>
        <v>8250</v>
      </c>
    </row>
    <row r="6" spans="1:6" ht="49.5" customHeight="1" thickBot="1" thickTop="1">
      <c r="A6" s="34" t="s">
        <v>4</v>
      </c>
      <c r="B6" s="35" t="s">
        <v>20</v>
      </c>
      <c r="C6" s="11">
        <f>($D$5-$D$11-$D$12-$D$13-$D$14)*0.25</f>
        <v>1326.25</v>
      </c>
      <c r="D6" s="40">
        <f>C6</f>
        <v>1326.25</v>
      </c>
      <c r="F6" s="47"/>
    </row>
    <row r="7" spans="1:4" ht="49.5" customHeight="1" thickBot="1">
      <c r="A7" s="36" t="s">
        <v>5</v>
      </c>
      <c r="B7" s="16" t="s">
        <v>20</v>
      </c>
      <c r="C7" s="11">
        <f>($D$5-$D$11-$D$12-$D$13-$D$14)*0.15</f>
        <v>795.75</v>
      </c>
      <c r="D7" s="41">
        <f>C7</f>
        <v>795.75</v>
      </c>
    </row>
    <row r="8" spans="1:4" ht="49.5" customHeight="1" thickBot="1">
      <c r="A8" s="36" t="s">
        <v>8</v>
      </c>
      <c r="B8" s="16" t="s">
        <v>15</v>
      </c>
      <c r="C8" s="11">
        <f>($D$5-$D$11-$D$12-$D$13-$D$14)*0.1</f>
        <v>530.5</v>
      </c>
      <c r="D8" s="42">
        <f>C8*2</f>
        <v>1061</v>
      </c>
    </row>
    <row r="9" spans="1:4" ht="49.5" customHeight="1" thickBot="1">
      <c r="A9" s="36" t="s">
        <v>7</v>
      </c>
      <c r="B9" s="16" t="s">
        <v>16</v>
      </c>
      <c r="C9" s="11">
        <f>($D$5-$D$11-$D$12-$D$13-$D$14)*0.05</f>
        <v>265.25</v>
      </c>
      <c r="D9" s="42">
        <f>C9*4</f>
        <v>1061</v>
      </c>
    </row>
    <row r="10" spans="1:4" ht="49.5" customHeight="1" thickBot="1">
      <c r="A10" s="36" t="s">
        <v>6</v>
      </c>
      <c r="B10" s="16" t="s">
        <v>17</v>
      </c>
      <c r="C10" s="11">
        <f>($D$5-$D$11-$D$12-$D$13-$D$14)*(0.2/8)</f>
        <v>132.625</v>
      </c>
      <c r="D10" s="42">
        <f>C10*8</f>
        <v>1061</v>
      </c>
    </row>
    <row r="11" spans="1:4" ht="49.5" customHeight="1" thickBot="1">
      <c r="A11" s="36" t="s">
        <v>9</v>
      </c>
      <c r="B11" s="16" t="s">
        <v>18</v>
      </c>
      <c r="C11" s="46">
        <v>40</v>
      </c>
      <c r="D11" s="42">
        <f>C11*16</f>
        <v>640</v>
      </c>
    </row>
    <row r="12" spans="1:4" ht="49.5" customHeight="1" thickBot="1">
      <c r="A12" s="36" t="s">
        <v>25</v>
      </c>
      <c r="B12" s="16" t="s">
        <v>24</v>
      </c>
      <c r="C12" s="46">
        <v>30</v>
      </c>
      <c r="D12" s="42">
        <f>C12*32</f>
        <v>960</v>
      </c>
    </row>
    <row r="13" spans="1:4" ht="49.5" customHeight="1" thickBot="1">
      <c r="A13" s="37" t="s">
        <v>10</v>
      </c>
      <c r="B13" s="18">
        <f>B14-64</f>
        <v>11</v>
      </c>
      <c r="C13" s="46">
        <v>20</v>
      </c>
      <c r="D13" s="43">
        <f>C13*B13</f>
        <v>220</v>
      </c>
    </row>
    <row r="14" spans="1:4" ht="49.5" customHeight="1" thickBot="1">
      <c r="A14" s="48" t="s">
        <v>39</v>
      </c>
      <c r="B14" s="38">
        <f>ROUNDUP(A2/4,0)</f>
        <v>75</v>
      </c>
      <c r="C14" s="39">
        <f>D2</f>
        <v>15</v>
      </c>
      <c r="D14" s="44">
        <f>C14*B14</f>
        <v>1125</v>
      </c>
    </row>
    <row r="15" spans="1:5" ht="49.5" customHeight="1" thickBot="1" thickTop="1">
      <c r="A15" s="31" t="s">
        <v>19</v>
      </c>
      <c r="B15" s="32"/>
      <c r="C15" s="33"/>
      <c r="D15" s="45">
        <f>SUM(D6:D14)</f>
        <v>8250</v>
      </c>
      <c r="E15" s="45">
        <f>D15-D5</f>
        <v>0</v>
      </c>
    </row>
  </sheetData>
  <sheetProtection/>
  <mergeCells count="2">
    <mergeCell ref="A1:D1"/>
    <mergeCell ref="A2:B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26.7109375" style="0" bestFit="1" customWidth="1"/>
    <col min="2" max="2" width="6.7109375" style="0" bestFit="1" customWidth="1"/>
    <col min="3" max="3" width="15.28125" style="0" bestFit="1" customWidth="1"/>
    <col min="4" max="4" width="30.57421875" style="0" bestFit="1" customWidth="1"/>
    <col min="5" max="5" width="15.28125" style="0" bestFit="1" customWidth="1"/>
    <col min="6" max="6" width="30.7109375" style="0" bestFit="1" customWidth="1"/>
    <col min="7" max="7" width="13.57421875" style="0" bestFit="1" customWidth="1"/>
  </cols>
  <sheetData>
    <row r="1" spans="1:7" ht="49.5" customHeight="1" thickBot="1">
      <c r="A1" s="120" t="s">
        <v>34</v>
      </c>
      <c r="B1" s="121"/>
      <c r="C1" s="121"/>
      <c r="D1" s="121"/>
      <c r="E1" s="121"/>
      <c r="F1" s="121"/>
      <c r="G1" s="122"/>
    </row>
    <row r="2" spans="1:7" ht="49.5" customHeight="1" thickBot="1">
      <c r="A2" s="114">
        <v>16</v>
      </c>
      <c r="B2" s="115"/>
      <c r="C2" s="83" t="s">
        <v>0</v>
      </c>
      <c r="D2" s="84">
        <v>12</v>
      </c>
      <c r="E2" s="85"/>
      <c r="F2" s="87"/>
      <c r="G2" s="69"/>
    </row>
    <row r="3" spans="1:7" ht="49.5" customHeight="1" thickBot="1">
      <c r="A3" s="2" t="s">
        <v>12</v>
      </c>
      <c r="B3" s="3"/>
      <c r="C3" s="3"/>
      <c r="D3" s="3"/>
      <c r="E3" s="8">
        <f>A2*D2</f>
        <v>192</v>
      </c>
      <c r="F3" s="88"/>
      <c r="G3" s="70"/>
    </row>
    <row r="4" spans="1:7" ht="49.5" customHeight="1" thickBot="1">
      <c r="A4" s="2" t="s">
        <v>1</v>
      </c>
      <c r="B4" s="3"/>
      <c r="C4" s="3"/>
      <c r="D4" s="3"/>
      <c r="E4" s="90">
        <v>30</v>
      </c>
      <c r="F4" s="88"/>
      <c r="G4" s="70"/>
    </row>
    <row r="5" spans="1:7" ht="49.5" customHeight="1" thickBot="1">
      <c r="A5" s="2" t="s">
        <v>2</v>
      </c>
      <c r="B5" s="3"/>
      <c r="C5" s="22"/>
      <c r="D5" s="3" t="s">
        <v>13</v>
      </c>
      <c r="E5" s="8">
        <f>(E3-E4)*C5/100</f>
        <v>0</v>
      </c>
      <c r="F5" s="88"/>
      <c r="G5" s="70"/>
    </row>
    <row r="6" spans="1:7" ht="49.5" customHeight="1" thickBot="1">
      <c r="A6" s="2" t="s">
        <v>14</v>
      </c>
      <c r="B6" s="3"/>
      <c r="C6" s="3"/>
      <c r="D6" s="3"/>
      <c r="E6" s="15">
        <v>0</v>
      </c>
      <c r="F6" s="88"/>
      <c r="G6" s="70"/>
    </row>
    <row r="7" spans="1:7" ht="49.5" customHeight="1" thickBot="1">
      <c r="A7" s="2" t="s">
        <v>3</v>
      </c>
      <c r="B7" s="3"/>
      <c r="C7" s="3"/>
      <c r="D7" s="3"/>
      <c r="E7" s="8">
        <f>E3+E5+E6</f>
        <v>192</v>
      </c>
      <c r="F7" s="88"/>
      <c r="G7" s="70"/>
    </row>
    <row r="8" spans="1:7" ht="49.5" customHeight="1" thickBot="1">
      <c r="A8" s="118" t="s">
        <v>31</v>
      </c>
      <c r="B8" s="119"/>
      <c r="C8" s="79">
        <f>E7*0.55</f>
        <v>105.60000000000001</v>
      </c>
      <c r="D8" s="19"/>
      <c r="E8" s="20"/>
      <c r="F8" s="88"/>
      <c r="G8" s="70"/>
    </row>
    <row r="9" spans="1:7" ht="49.5" customHeight="1" thickBot="1">
      <c r="A9" s="4" t="s">
        <v>10</v>
      </c>
      <c r="B9" s="18">
        <f>IF(MOD(A2,4)=0,(A2/4-4),(ROUNDUP(A2/4,0))-4)</f>
        <v>0</v>
      </c>
      <c r="C9" s="11">
        <f>B9*D2</f>
        <v>0</v>
      </c>
      <c r="D9" s="13"/>
      <c r="E9" s="14"/>
      <c r="F9" s="89"/>
      <c r="G9" s="74"/>
    </row>
    <row r="10" spans="1:7" ht="49.5" customHeight="1" thickBot="1">
      <c r="A10" s="118" t="s">
        <v>30</v>
      </c>
      <c r="B10" s="119"/>
      <c r="C10" s="78">
        <f>C8-C9</f>
        <v>105.60000000000001</v>
      </c>
      <c r="D10" s="5" t="s">
        <v>33</v>
      </c>
      <c r="E10" s="80">
        <f>E7*0.35</f>
        <v>67.19999999999999</v>
      </c>
      <c r="F10" s="86" t="s">
        <v>32</v>
      </c>
      <c r="G10" s="80">
        <f>E7*0.1</f>
        <v>19.200000000000003</v>
      </c>
    </row>
    <row r="11" spans="1:7" ht="49.5" customHeight="1" thickBot="1">
      <c r="A11" s="4" t="s">
        <v>4</v>
      </c>
      <c r="B11" s="16" t="s">
        <v>20</v>
      </c>
      <c r="C11" s="10">
        <f>C10*0.35</f>
        <v>36.96</v>
      </c>
      <c r="D11" s="5" t="s">
        <v>4</v>
      </c>
      <c r="E11" s="10">
        <f>E10*0.35</f>
        <v>23.519999999999996</v>
      </c>
      <c r="F11" s="5" t="s">
        <v>4</v>
      </c>
      <c r="G11" s="26">
        <f>G10*0.35</f>
        <v>6.720000000000001</v>
      </c>
    </row>
    <row r="12" spans="1:7" ht="49.5" customHeight="1" thickBot="1">
      <c r="A12" s="4" t="s">
        <v>5</v>
      </c>
      <c r="B12" s="16" t="s">
        <v>20</v>
      </c>
      <c r="C12" s="11">
        <f>C10*0.25</f>
        <v>26.400000000000002</v>
      </c>
      <c r="D12" s="5" t="s">
        <v>5</v>
      </c>
      <c r="E12" s="11">
        <f>E10*0.25</f>
        <v>16.799999999999997</v>
      </c>
      <c r="F12" s="5" t="s">
        <v>5</v>
      </c>
      <c r="G12" s="12">
        <f>G10*0.25</f>
        <v>4.800000000000001</v>
      </c>
    </row>
    <row r="13" spans="1:7" ht="49.5" customHeight="1" thickBot="1">
      <c r="A13" s="4" t="s">
        <v>8</v>
      </c>
      <c r="B13" s="16" t="s">
        <v>15</v>
      </c>
      <c r="C13" s="11">
        <f>C10*0.2</f>
        <v>21.120000000000005</v>
      </c>
      <c r="D13" s="5" t="s">
        <v>8</v>
      </c>
      <c r="E13" s="11">
        <f>E10*0.2</f>
        <v>13.439999999999998</v>
      </c>
      <c r="F13" s="5" t="s">
        <v>8</v>
      </c>
      <c r="G13" s="12">
        <f>G10*0.2</f>
        <v>3.8400000000000007</v>
      </c>
    </row>
    <row r="14" spans="1:7" ht="49.5" customHeight="1" thickBot="1">
      <c r="A14" s="24" t="s">
        <v>7</v>
      </c>
      <c r="B14" s="25" t="s">
        <v>16</v>
      </c>
      <c r="C14" s="23"/>
      <c r="D14" s="19" t="s">
        <v>7</v>
      </c>
      <c r="E14" s="14"/>
      <c r="F14" s="19" t="s">
        <v>7</v>
      </c>
      <c r="G14" s="14"/>
    </row>
    <row r="15" spans="1:7" ht="49.5" customHeight="1" thickBot="1">
      <c r="A15" s="24" t="s">
        <v>6</v>
      </c>
      <c r="B15" s="25" t="s">
        <v>17</v>
      </c>
      <c r="C15" s="23"/>
      <c r="D15" s="19" t="s">
        <v>6</v>
      </c>
      <c r="E15" s="14"/>
      <c r="F15" s="19" t="s">
        <v>6</v>
      </c>
      <c r="G15" s="14"/>
    </row>
    <row r="16" spans="1:7" ht="49.5" customHeight="1" thickBot="1">
      <c r="A16" s="24" t="s">
        <v>9</v>
      </c>
      <c r="B16" s="25" t="s">
        <v>18</v>
      </c>
      <c r="C16" s="23"/>
      <c r="D16" s="19" t="s">
        <v>9</v>
      </c>
      <c r="E16" s="14"/>
      <c r="F16" s="19" t="s">
        <v>9</v>
      </c>
      <c r="G16" s="14"/>
    </row>
    <row r="17" spans="1:7" ht="49.5" customHeight="1" thickBot="1">
      <c r="A17" s="6" t="s">
        <v>19</v>
      </c>
      <c r="B17" s="17"/>
      <c r="C17" s="81">
        <f>C11+C12+(C13*2)+(C14*4)+(C15*8)+(C16*16)+C9</f>
        <v>105.60000000000001</v>
      </c>
      <c r="D17" s="7"/>
      <c r="E17" s="82">
        <f>E11+E12+(E13*2)+(E14*4)+(E15*8)+(E16*16)</f>
        <v>67.19999999999999</v>
      </c>
      <c r="F17" s="7"/>
      <c r="G17" s="82">
        <f>G11+G12+(G13*2)+(G14*4)+(G15*8)+(G16*16)</f>
        <v>19.200000000000003</v>
      </c>
    </row>
    <row r="18" spans="1:7" ht="49.5" customHeight="1" thickBot="1">
      <c r="A18" s="116" t="s">
        <v>11</v>
      </c>
      <c r="B18" s="117"/>
      <c r="C18" s="117"/>
      <c r="D18" s="117"/>
      <c r="E18" s="125">
        <f>C17+E17+G17</f>
        <v>192</v>
      </c>
      <c r="F18" s="126"/>
      <c r="G18" s="100"/>
    </row>
  </sheetData>
  <sheetProtection/>
  <mergeCells count="6">
    <mergeCell ref="E18:G18"/>
    <mergeCell ref="A1:G1"/>
    <mergeCell ref="A18:D18"/>
    <mergeCell ref="A2:B2"/>
    <mergeCell ref="A10:B10"/>
    <mergeCell ref="A8:B8"/>
  </mergeCells>
  <printOptions horizontalCentered="1" verticalCentered="1"/>
  <pageMargins left="0.34" right="0.39" top="0.5118110236220472" bottom="0.5118110236220472" header="0.5118110236220472" footer="0.5118110236220472"/>
  <pageSetup fitToHeight="1" fitToWidth="1" horizontalDpi="360" verticalDpi="36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75" zoomScaleNormal="75" zoomScalePageLayoutView="0" workbookViewId="0" topLeftCell="A1">
      <selection activeCell="E5" sqref="E5"/>
    </sheetView>
  </sheetViews>
  <sheetFormatPr defaultColWidth="11.421875" defaultRowHeight="12.75"/>
  <cols>
    <col min="1" max="1" width="27.00390625" style="0" bestFit="1" customWidth="1"/>
    <col min="2" max="2" width="7.140625" style="0" bestFit="1" customWidth="1"/>
    <col min="3" max="3" width="15.421875" style="0" bestFit="1" customWidth="1"/>
    <col min="4" max="4" width="31.57421875" style="0" bestFit="1" customWidth="1"/>
    <col min="5" max="5" width="15.421875" style="0" bestFit="1" customWidth="1"/>
    <col min="6" max="6" width="31.7109375" style="0" bestFit="1" customWidth="1"/>
    <col min="7" max="7" width="13.7109375" style="0" bestFit="1" customWidth="1"/>
  </cols>
  <sheetData>
    <row r="1" spans="1:7" ht="49.5" customHeight="1" thickBot="1">
      <c r="A1" s="120" t="s">
        <v>35</v>
      </c>
      <c r="B1" s="121"/>
      <c r="C1" s="121"/>
      <c r="D1" s="121"/>
      <c r="E1" s="121"/>
      <c r="F1" s="121"/>
      <c r="G1" s="122"/>
    </row>
    <row r="2" spans="1:7" ht="49.5" customHeight="1" thickBot="1">
      <c r="A2" s="114"/>
      <c r="B2" s="115"/>
      <c r="C2" s="83" t="s">
        <v>0</v>
      </c>
      <c r="D2" s="123"/>
      <c r="E2" s="124"/>
      <c r="F2" s="87"/>
      <c r="G2" s="69"/>
    </row>
    <row r="3" spans="1:7" ht="49.5" customHeight="1" thickBot="1">
      <c r="A3" s="2" t="s">
        <v>12</v>
      </c>
      <c r="B3" s="3"/>
      <c r="C3" s="3"/>
      <c r="D3" s="3"/>
      <c r="E3" s="8">
        <f>A2*D2</f>
        <v>0</v>
      </c>
      <c r="F3" s="88"/>
      <c r="G3" s="70"/>
    </row>
    <row r="4" spans="1:7" ht="49.5" customHeight="1" thickBot="1">
      <c r="A4" s="2" t="s">
        <v>1</v>
      </c>
      <c r="B4" s="3"/>
      <c r="C4" s="3"/>
      <c r="D4" s="3"/>
      <c r="E4" s="90">
        <v>30</v>
      </c>
      <c r="F4" s="88"/>
      <c r="G4" s="70"/>
    </row>
    <row r="5" spans="1:7" ht="49.5" customHeight="1" thickBot="1">
      <c r="A5" s="2" t="s">
        <v>2</v>
      </c>
      <c r="B5" s="3"/>
      <c r="C5" s="22"/>
      <c r="D5" s="3" t="s">
        <v>13</v>
      </c>
      <c r="E5" s="8">
        <f>(E3-E4)*C5/100</f>
        <v>0</v>
      </c>
      <c r="F5" s="88"/>
      <c r="G5" s="70"/>
    </row>
    <row r="6" spans="1:7" ht="49.5" customHeight="1" thickBot="1">
      <c r="A6" s="2" t="s">
        <v>14</v>
      </c>
      <c r="B6" s="3"/>
      <c r="C6" s="3"/>
      <c r="D6" s="3"/>
      <c r="E6" s="15">
        <v>0</v>
      </c>
      <c r="F6" s="88"/>
      <c r="G6" s="70"/>
    </row>
    <row r="7" spans="1:7" ht="49.5" customHeight="1" thickBot="1">
      <c r="A7" s="2" t="s">
        <v>3</v>
      </c>
      <c r="B7" s="3"/>
      <c r="C7" s="3"/>
      <c r="D7" s="3"/>
      <c r="E7" s="8">
        <f>E3+E5+E6</f>
        <v>0</v>
      </c>
      <c r="F7" s="88"/>
      <c r="G7" s="70"/>
    </row>
    <row r="8" spans="1:7" ht="49.5" customHeight="1" thickBot="1">
      <c r="A8" s="118" t="s">
        <v>31</v>
      </c>
      <c r="B8" s="119"/>
      <c r="C8" s="79">
        <f>E7*0.55</f>
        <v>0</v>
      </c>
      <c r="D8" s="19"/>
      <c r="E8" s="20"/>
      <c r="F8" s="88"/>
      <c r="G8" s="70"/>
    </row>
    <row r="9" spans="1:7" ht="49.5" customHeight="1" thickBot="1">
      <c r="A9" s="4" t="s">
        <v>10</v>
      </c>
      <c r="B9" s="18">
        <f>IF(MOD(A2,4)=0,(A2/4-8),(ROUNDUP(A2/4,0))-8)</f>
        <v>-8</v>
      </c>
      <c r="C9" s="11">
        <f>B9*D2</f>
        <v>0</v>
      </c>
      <c r="D9" s="13"/>
      <c r="E9" s="14"/>
      <c r="F9" s="89"/>
      <c r="G9" s="74"/>
    </row>
    <row r="10" spans="1:7" ht="49.5" customHeight="1" thickBot="1">
      <c r="A10" s="118" t="s">
        <v>30</v>
      </c>
      <c r="B10" s="119"/>
      <c r="C10" s="78">
        <f>C8-C9</f>
        <v>0</v>
      </c>
      <c r="D10" s="5" t="s">
        <v>33</v>
      </c>
      <c r="E10" s="80">
        <f>E7*0.35</f>
        <v>0</v>
      </c>
      <c r="F10" s="86" t="s">
        <v>32</v>
      </c>
      <c r="G10" s="80">
        <f>E7*0.1</f>
        <v>0</v>
      </c>
    </row>
    <row r="11" spans="1:7" ht="49.5" customHeight="1" thickBot="1">
      <c r="A11" s="4" t="s">
        <v>4</v>
      </c>
      <c r="B11" s="16" t="s">
        <v>20</v>
      </c>
      <c r="C11" s="10">
        <f>C10*0.25</f>
        <v>0</v>
      </c>
      <c r="D11" s="5" t="s">
        <v>4</v>
      </c>
      <c r="E11" s="10">
        <f>E10*0.25</f>
        <v>0</v>
      </c>
      <c r="F11" s="5" t="s">
        <v>4</v>
      </c>
      <c r="G11" s="26">
        <f>G10*0.35</f>
        <v>0</v>
      </c>
    </row>
    <row r="12" spans="1:7" ht="49.5" customHeight="1" thickBot="1">
      <c r="A12" s="4" t="s">
        <v>5</v>
      </c>
      <c r="B12" s="16" t="s">
        <v>20</v>
      </c>
      <c r="C12" s="11">
        <f>C10*0.2</f>
        <v>0</v>
      </c>
      <c r="D12" s="5" t="s">
        <v>5</v>
      </c>
      <c r="E12" s="11">
        <f>E10*0.2</f>
        <v>0</v>
      </c>
      <c r="F12" s="5" t="s">
        <v>5</v>
      </c>
      <c r="G12" s="12">
        <f>G10*0.25</f>
        <v>0</v>
      </c>
    </row>
    <row r="13" spans="1:7" ht="49.5" customHeight="1" thickBot="1">
      <c r="A13" s="4" t="s">
        <v>8</v>
      </c>
      <c r="B13" s="16" t="s">
        <v>15</v>
      </c>
      <c r="C13" s="11">
        <f>C10*0.125</f>
        <v>0</v>
      </c>
      <c r="D13" s="5" t="s">
        <v>8</v>
      </c>
      <c r="E13" s="11">
        <f>E10*0.125</f>
        <v>0</v>
      </c>
      <c r="F13" s="5" t="s">
        <v>8</v>
      </c>
      <c r="G13" s="12">
        <f>G10*0.2</f>
        <v>0</v>
      </c>
    </row>
    <row r="14" spans="1:7" ht="49.5" customHeight="1" thickBot="1">
      <c r="A14" s="91" t="s">
        <v>7</v>
      </c>
      <c r="B14" s="92" t="s">
        <v>16</v>
      </c>
      <c r="C14" s="11">
        <f>C10*0.075</f>
        <v>0</v>
      </c>
      <c r="D14" s="93" t="s">
        <v>7</v>
      </c>
      <c r="E14" s="11">
        <f>E10*0.075</f>
        <v>0</v>
      </c>
      <c r="F14" s="19"/>
      <c r="G14" s="14"/>
    </row>
    <row r="15" spans="1:7" ht="49.5" customHeight="1" thickBot="1">
      <c r="A15" s="24" t="s">
        <v>6</v>
      </c>
      <c r="B15" s="25" t="s">
        <v>17</v>
      </c>
      <c r="C15" s="23"/>
      <c r="D15" s="19" t="s">
        <v>6</v>
      </c>
      <c r="E15" s="14"/>
      <c r="F15" s="19"/>
      <c r="G15" s="14"/>
    </row>
    <row r="16" spans="1:7" ht="49.5" customHeight="1" thickBot="1">
      <c r="A16" s="24" t="s">
        <v>9</v>
      </c>
      <c r="B16" s="25" t="s">
        <v>18</v>
      </c>
      <c r="C16" s="23"/>
      <c r="D16" s="19" t="s">
        <v>9</v>
      </c>
      <c r="E16" s="14"/>
      <c r="F16" s="19"/>
      <c r="G16" s="14"/>
    </row>
    <row r="17" spans="1:7" ht="49.5" customHeight="1" thickBot="1">
      <c r="A17" s="6" t="s">
        <v>19</v>
      </c>
      <c r="B17" s="17"/>
      <c r="C17" s="81">
        <f>C11+C12+(C13*2)+(C14*4)+(C15*8)+(C16*16)+C9</f>
        <v>0</v>
      </c>
      <c r="D17" s="7"/>
      <c r="E17" s="82">
        <f>E11+E12+(E13*2)+(E14*4)+(E15*8)+(E16*16)</f>
        <v>0</v>
      </c>
      <c r="F17" s="7"/>
      <c r="G17" s="82">
        <f>G11+G12+(G13*2)+(G14*4)+(G15*8)+(G16*16)</f>
        <v>0</v>
      </c>
    </row>
    <row r="18" spans="1:7" ht="34.5" thickBot="1">
      <c r="A18" s="116" t="s">
        <v>11</v>
      </c>
      <c r="B18" s="117"/>
      <c r="C18" s="117"/>
      <c r="D18" s="117"/>
      <c r="E18" s="125">
        <f>C17+E17+G17</f>
        <v>0</v>
      </c>
      <c r="F18" s="126"/>
      <c r="G18" s="100"/>
    </row>
  </sheetData>
  <sheetProtection/>
  <mergeCells count="7">
    <mergeCell ref="A1:G1"/>
    <mergeCell ref="A8:B8"/>
    <mergeCell ref="A10:B10"/>
    <mergeCell ref="A18:D18"/>
    <mergeCell ref="E18:G18"/>
    <mergeCell ref="D2:E2"/>
    <mergeCell ref="A2:B2"/>
  </mergeCells>
  <printOptions/>
  <pageMargins left="0.75" right="0.75" top="1" bottom="1" header="0.4921259845" footer="0.4921259845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75" zoomScaleNormal="75" zoomScalePageLayoutView="0" workbookViewId="0" topLeftCell="A1">
      <selection activeCell="B9" sqref="B9"/>
    </sheetView>
  </sheetViews>
  <sheetFormatPr defaultColWidth="11.421875" defaultRowHeight="12.75"/>
  <cols>
    <col min="1" max="1" width="27.00390625" style="0" bestFit="1" customWidth="1"/>
    <col min="2" max="2" width="7.140625" style="0" bestFit="1" customWidth="1"/>
    <col min="3" max="3" width="18.140625" style="0" bestFit="1" customWidth="1"/>
    <col min="4" max="4" width="31.57421875" style="0" bestFit="1" customWidth="1"/>
    <col min="5" max="5" width="18.140625" style="0" bestFit="1" customWidth="1"/>
    <col min="6" max="6" width="31.7109375" style="0" bestFit="1" customWidth="1"/>
    <col min="7" max="7" width="18.140625" style="0" bestFit="1" customWidth="1"/>
  </cols>
  <sheetData>
    <row r="1" spans="1:7" ht="49.5" customHeight="1" thickBot="1">
      <c r="A1" s="120" t="s">
        <v>44</v>
      </c>
      <c r="B1" s="121"/>
      <c r="C1" s="121"/>
      <c r="D1" s="121"/>
      <c r="E1" s="121"/>
      <c r="F1" s="121"/>
      <c r="G1" s="122"/>
    </row>
    <row r="2" spans="1:7" ht="49.5" customHeight="1" thickBot="1">
      <c r="A2" s="114">
        <v>100</v>
      </c>
      <c r="B2" s="115"/>
      <c r="C2" s="83" t="s">
        <v>0</v>
      </c>
      <c r="D2" s="123">
        <v>13.5</v>
      </c>
      <c r="E2" s="124"/>
      <c r="F2" s="87"/>
      <c r="G2" s="69"/>
    </row>
    <row r="3" spans="1:7" ht="49.5" customHeight="1" thickBot="1">
      <c r="A3" s="2" t="s">
        <v>12</v>
      </c>
      <c r="B3" s="3"/>
      <c r="C3" s="3"/>
      <c r="D3" s="3"/>
      <c r="E3" s="8">
        <f>A2*D2</f>
        <v>1350</v>
      </c>
      <c r="F3" s="88"/>
      <c r="G3" s="70"/>
    </row>
    <row r="4" spans="1:7" ht="49.5" customHeight="1" thickBot="1">
      <c r="A4" s="2" t="s">
        <v>1</v>
      </c>
      <c r="B4" s="3"/>
      <c r="C4" s="3"/>
      <c r="D4" s="3"/>
      <c r="E4" s="90">
        <v>38</v>
      </c>
      <c r="F4" s="88"/>
      <c r="G4" s="70"/>
    </row>
    <row r="5" spans="1:7" ht="49.5" customHeight="1" thickBot="1">
      <c r="A5" s="2" t="s">
        <v>2</v>
      </c>
      <c r="B5" s="3"/>
      <c r="C5" s="22">
        <v>25</v>
      </c>
      <c r="D5" s="3" t="s">
        <v>13</v>
      </c>
      <c r="E5" s="8">
        <f>(E3-E4)*C5/100</f>
        <v>328</v>
      </c>
      <c r="F5" s="88"/>
      <c r="G5" s="70"/>
    </row>
    <row r="6" spans="1:7" ht="49.5" customHeight="1" thickBot="1">
      <c r="A6" s="2" t="s">
        <v>14</v>
      </c>
      <c r="B6" s="3"/>
      <c r="C6" s="3"/>
      <c r="D6" s="3"/>
      <c r="E6" s="15">
        <v>0</v>
      </c>
      <c r="F6" s="88"/>
      <c r="G6" s="70"/>
    </row>
    <row r="7" spans="1:7" ht="49.5" customHeight="1" thickBot="1">
      <c r="A7" s="2" t="s">
        <v>3</v>
      </c>
      <c r="B7" s="3"/>
      <c r="C7" s="3"/>
      <c r="D7" s="3"/>
      <c r="E7" s="8">
        <f>E3+E5+E6</f>
        <v>1678</v>
      </c>
      <c r="F7" s="88"/>
      <c r="G7" s="70"/>
    </row>
    <row r="8" spans="1:7" ht="49.5" customHeight="1" thickBot="1">
      <c r="A8" s="118" t="s">
        <v>31</v>
      </c>
      <c r="B8" s="119"/>
      <c r="C8" s="79">
        <f>E7*0.55</f>
        <v>922.9000000000001</v>
      </c>
      <c r="D8" s="19"/>
      <c r="E8" s="20"/>
      <c r="F8" s="88"/>
      <c r="G8" s="70"/>
    </row>
    <row r="9" spans="1:7" ht="49.5" customHeight="1" thickBot="1">
      <c r="A9" s="4" t="s">
        <v>10</v>
      </c>
      <c r="B9" s="18">
        <f>IF(MOD(A2,4)=0,(A2/4-16),(ROUNDUP(A2/4,0))-16)</f>
        <v>9</v>
      </c>
      <c r="C9" s="11">
        <f>B9*D2</f>
        <v>121.5</v>
      </c>
      <c r="D9" s="13"/>
      <c r="E9" s="14"/>
      <c r="F9" s="89"/>
      <c r="G9" s="74"/>
    </row>
    <row r="10" spans="1:7" ht="49.5" customHeight="1" thickBot="1">
      <c r="A10" s="118" t="s">
        <v>30</v>
      </c>
      <c r="B10" s="119"/>
      <c r="C10" s="78">
        <f>C8-C9</f>
        <v>801.4000000000001</v>
      </c>
      <c r="D10" s="5" t="s">
        <v>33</v>
      </c>
      <c r="E10" s="80">
        <f>E7*0.35</f>
        <v>587.3</v>
      </c>
      <c r="F10" s="86" t="s">
        <v>32</v>
      </c>
      <c r="G10" s="80">
        <f>E7*0.1</f>
        <v>167.8</v>
      </c>
    </row>
    <row r="11" spans="1:7" ht="49.5" customHeight="1" thickBot="1">
      <c r="A11" s="4" t="s">
        <v>4</v>
      </c>
      <c r="B11" s="16" t="s">
        <v>20</v>
      </c>
      <c r="C11" s="10">
        <f>C10*0.2</f>
        <v>160.28000000000003</v>
      </c>
      <c r="D11" s="5" t="s">
        <v>4</v>
      </c>
      <c r="E11" s="10">
        <f>E10*0.2</f>
        <v>117.46</v>
      </c>
      <c r="F11" s="5" t="s">
        <v>4</v>
      </c>
      <c r="G11" s="26">
        <f>G10*0.35</f>
        <v>58.73</v>
      </c>
    </row>
    <row r="12" spans="1:7" ht="49.5" customHeight="1" thickBot="1">
      <c r="A12" s="4" t="s">
        <v>5</v>
      </c>
      <c r="B12" s="16" t="s">
        <v>20</v>
      </c>
      <c r="C12" s="11">
        <f>C10*0.15</f>
        <v>120.21000000000001</v>
      </c>
      <c r="D12" s="5" t="s">
        <v>5</v>
      </c>
      <c r="E12" s="11">
        <f>E10*0.15</f>
        <v>88.09499999999998</v>
      </c>
      <c r="F12" s="5" t="s">
        <v>5</v>
      </c>
      <c r="G12" s="12">
        <f>G10*0.25</f>
        <v>41.95</v>
      </c>
    </row>
    <row r="13" spans="1:7" ht="49.5" customHeight="1" thickBot="1">
      <c r="A13" s="4" t="s">
        <v>8</v>
      </c>
      <c r="B13" s="16" t="s">
        <v>15</v>
      </c>
      <c r="C13" s="11">
        <f>C10*0.1</f>
        <v>80.14000000000001</v>
      </c>
      <c r="D13" s="5" t="s">
        <v>8</v>
      </c>
      <c r="E13" s="11">
        <f>E10*0.1</f>
        <v>58.73</v>
      </c>
      <c r="F13" s="5" t="s">
        <v>8</v>
      </c>
      <c r="G13" s="12">
        <f>G10*0.2</f>
        <v>33.56</v>
      </c>
    </row>
    <row r="14" spans="1:7" ht="49.5" customHeight="1" thickBot="1">
      <c r="A14" s="91" t="s">
        <v>7</v>
      </c>
      <c r="B14" s="92" t="s">
        <v>16</v>
      </c>
      <c r="C14" s="11">
        <f>C10*0.05</f>
        <v>40.07000000000001</v>
      </c>
      <c r="D14" s="93" t="s">
        <v>7</v>
      </c>
      <c r="E14" s="11">
        <f>E10*0.05</f>
        <v>29.365</v>
      </c>
      <c r="F14" s="19"/>
      <c r="G14" s="14"/>
    </row>
    <row r="15" spans="1:7" ht="49.5" customHeight="1" thickBot="1">
      <c r="A15" s="91" t="s">
        <v>6</v>
      </c>
      <c r="B15" s="92" t="s">
        <v>17</v>
      </c>
      <c r="C15" s="11">
        <f>C10*0.03125</f>
        <v>25.043750000000003</v>
      </c>
      <c r="D15" s="93" t="s">
        <v>6</v>
      </c>
      <c r="E15" s="11">
        <f>E10*0.03125</f>
        <v>18.353125</v>
      </c>
      <c r="F15" s="19"/>
      <c r="G15" s="14"/>
    </row>
    <row r="16" spans="1:7" ht="49.5" customHeight="1" thickBot="1">
      <c r="A16" s="24" t="s">
        <v>9</v>
      </c>
      <c r="B16" s="25" t="s">
        <v>18</v>
      </c>
      <c r="C16" s="23"/>
      <c r="D16" s="19" t="s">
        <v>9</v>
      </c>
      <c r="E16" s="14"/>
      <c r="F16" s="19"/>
      <c r="G16" s="14"/>
    </row>
    <row r="17" spans="1:7" ht="49.5" customHeight="1" thickBot="1">
      <c r="A17" s="6" t="s">
        <v>19</v>
      </c>
      <c r="B17" s="17"/>
      <c r="C17" s="81">
        <f>C11+C12+(C13*2)+(C14*4)+(C15*8)+(C16*16)+C9</f>
        <v>922.9000000000001</v>
      </c>
      <c r="D17" s="7"/>
      <c r="E17" s="82">
        <f>E11+E12+(E13*2)+(E14*4)+(E15*8)+(E16*16)</f>
        <v>587.3</v>
      </c>
      <c r="F17" s="7"/>
      <c r="G17" s="82">
        <f>G11+G12+(G13*2)</f>
        <v>167.8</v>
      </c>
    </row>
    <row r="18" spans="1:7" ht="49.5" customHeight="1" thickBot="1">
      <c r="A18" s="116" t="s">
        <v>11</v>
      </c>
      <c r="B18" s="117"/>
      <c r="C18" s="117"/>
      <c r="D18" s="117"/>
      <c r="E18" s="125">
        <f>C17+E17+G17</f>
        <v>1678</v>
      </c>
      <c r="F18" s="126"/>
      <c r="G18" s="100"/>
    </row>
  </sheetData>
  <sheetProtection/>
  <mergeCells count="7">
    <mergeCell ref="A2:B2"/>
    <mergeCell ref="A18:D18"/>
    <mergeCell ref="A10:B10"/>
    <mergeCell ref="A1:G1"/>
    <mergeCell ref="D2:E2"/>
    <mergeCell ref="A8:B8"/>
    <mergeCell ref="E18:G18"/>
  </mergeCells>
  <printOptions horizontalCentered="1" verticalCentered="1"/>
  <pageMargins left="0.35433070866141736" right="0.5118110236220472" top="0.3937007874015748" bottom="0.2755905511811024" header="0.3937007874015748" footer="0.2755905511811024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60" zoomScaleNormal="60" zoomScalePageLayoutView="0" workbookViewId="0" topLeftCell="A22">
      <selection activeCell="A2" sqref="A2:B2"/>
    </sheetView>
  </sheetViews>
  <sheetFormatPr defaultColWidth="11.421875" defaultRowHeight="12.75"/>
  <cols>
    <col min="1" max="1" width="26.7109375" style="0" bestFit="1" customWidth="1"/>
    <col min="2" max="2" width="6.7109375" style="0" bestFit="1" customWidth="1"/>
    <col min="3" max="3" width="18.00390625" style="0" bestFit="1" customWidth="1"/>
    <col min="4" max="4" width="30.57421875" style="0" bestFit="1" customWidth="1"/>
    <col min="5" max="5" width="18.00390625" style="0" bestFit="1" customWidth="1"/>
    <col min="6" max="6" width="30.7109375" style="0" bestFit="1" customWidth="1"/>
    <col min="7" max="7" width="15.28125" style="0" bestFit="1" customWidth="1"/>
  </cols>
  <sheetData>
    <row r="1" spans="1:7" ht="49.5" customHeight="1" thickBot="1">
      <c r="A1" s="120" t="s">
        <v>45</v>
      </c>
      <c r="B1" s="121"/>
      <c r="C1" s="121"/>
      <c r="D1" s="121"/>
      <c r="E1" s="121"/>
      <c r="F1" s="121"/>
      <c r="G1" s="122"/>
    </row>
    <row r="2" spans="1:7" ht="49.5" customHeight="1" thickBot="1">
      <c r="A2" s="114">
        <v>256</v>
      </c>
      <c r="B2" s="115"/>
      <c r="C2" s="83" t="s">
        <v>0</v>
      </c>
      <c r="D2" s="123">
        <v>12</v>
      </c>
      <c r="E2" s="124"/>
      <c r="F2" s="87"/>
      <c r="G2" s="69"/>
    </row>
    <row r="3" spans="1:7" ht="49.5" customHeight="1" thickBot="1">
      <c r="A3" s="2" t="s">
        <v>12</v>
      </c>
      <c r="B3" s="3"/>
      <c r="C3" s="3"/>
      <c r="D3" s="3"/>
      <c r="E3" s="8">
        <f>A2*D2</f>
        <v>3072</v>
      </c>
      <c r="F3" s="88"/>
      <c r="G3" s="70"/>
    </row>
    <row r="4" spans="1:7" ht="49.5" customHeight="1" thickBot="1">
      <c r="A4" s="2" t="s">
        <v>1</v>
      </c>
      <c r="B4" s="3"/>
      <c r="C4" s="3"/>
      <c r="D4" s="3"/>
      <c r="E4" s="90">
        <v>46</v>
      </c>
      <c r="F4" s="88"/>
      <c r="G4" s="70"/>
    </row>
    <row r="5" spans="1:8" ht="49.5" customHeight="1" thickBot="1">
      <c r="A5" s="2" t="s">
        <v>2</v>
      </c>
      <c r="B5" s="3"/>
      <c r="C5" s="22">
        <v>25</v>
      </c>
      <c r="D5" s="3" t="s">
        <v>13</v>
      </c>
      <c r="E5" s="8">
        <f>E3*C5/100</f>
        <v>768</v>
      </c>
      <c r="F5" s="88"/>
      <c r="G5" s="70"/>
      <c r="H5" s="21"/>
    </row>
    <row r="6" spans="1:7" ht="49.5" customHeight="1" thickBot="1">
      <c r="A6" s="2" t="s">
        <v>14</v>
      </c>
      <c r="B6" s="3"/>
      <c r="C6" s="3"/>
      <c r="D6" s="3"/>
      <c r="E6" s="15">
        <v>300</v>
      </c>
      <c r="F6" s="88"/>
      <c r="G6" s="70"/>
    </row>
    <row r="7" spans="1:7" ht="49.5" customHeight="1" thickBot="1">
      <c r="A7" s="2" t="s">
        <v>3</v>
      </c>
      <c r="B7" s="3"/>
      <c r="C7" s="3"/>
      <c r="D7" s="3"/>
      <c r="E7" s="8">
        <f>E3+E5+E6</f>
        <v>4140</v>
      </c>
      <c r="F7" s="88"/>
      <c r="G7" s="70"/>
    </row>
    <row r="8" spans="1:7" ht="49.5" customHeight="1" thickBot="1">
      <c r="A8" s="118" t="s">
        <v>31</v>
      </c>
      <c r="B8" s="119"/>
      <c r="C8" s="79">
        <f>E7*0.55</f>
        <v>2277</v>
      </c>
      <c r="D8" s="19"/>
      <c r="E8" s="20"/>
      <c r="F8" s="88"/>
      <c r="G8" s="70"/>
    </row>
    <row r="9" spans="1:7" ht="49.5" customHeight="1" thickBot="1">
      <c r="A9" s="4" t="s">
        <v>10</v>
      </c>
      <c r="B9" s="18">
        <f>IF(MOD(A2,4)=0,(A2/4-32),(ROUNDUP(A2/4,0))-32)</f>
        <v>32</v>
      </c>
      <c r="C9" s="11">
        <f>B9*D2</f>
        <v>384</v>
      </c>
      <c r="D9" s="13"/>
      <c r="E9" s="14"/>
      <c r="F9" s="89"/>
      <c r="G9" s="74"/>
    </row>
    <row r="10" spans="1:7" ht="49.5" customHeight="1" thickBot="1">
      <c r="A10" s="118" t="s">
        <v>30</v>
      </c>
      <c r="B10" s="119"/>
      <c r="C10" s="78">
        <f>C8-C9</f>
        <v>1893</v>
      </c>
      <c r="D10" s="5" t="s">
        <v>33</v>
      </c>
      <c r="E10" s="80">
        <f>E7*0.35</f>
        <v>1449</v>
      </c>
      <c r="F10" s="86" t="s">
        <v>32</v>
      </c>
      <c r="G10" s="80">
        <f>E7*0.1</f>
        <v>414</v>
      </c>
    </row>
    <row r="11" spans="1:7" ht="49.5" customHeight="1" thickBot="1">
      <c r="A11" s="4" t="s">
        <v>4</v>
      </c>
      <c r="B11" s="16" t="s">
        <v>20</v>
      </c>
      <c r="C11" s="10">
        <f>C10*0.15</f>
        <v>283.95</v>
      </c>
      <c r="D11" s="5" t="s">
        <v>4</v>
      </c>
      <c r="E11" s="10">
        <f>E10*0.15</f>
        <v>217.35</v>
      </c>
      <c r="F11" s="5" t="s">
        <v>4</v>
      </c>
      <c r="G11" s="26">
        <f>G10*0.35</f>
        <v>144.89999999999998</v>
      </c>
    </row>
    <row r="12" spans="1:7" ht="49.5" customHeight="1" thickBot="1">
      <c r="A12" s="4" t="s">
        <v>5</v>
      </c>
      <c r="B12" s="16" t="s">
        <v>20</v>
      </c>
      <c r="C12" s="11">
        <f>C10*0.1</f>
        <v>189.3</v>
      </c>
      <c r="D12" s="5" t="s">
        <v>5</v>
      </c>
      <c r="E12" s="11">
        <f>E10*0.1</f>
        <v>144.9</v>
      </c>
      <c r="F12" s="5" t="s">
        <v>5</v>
      </c>
      <c r="G12" s="12">
        <f>G10*0.25</f>
        <v>103.5</v>
      </c>
    </row>
    <row r="13" spans="1:7" ht="49.5" customHeight="1" thickBot="1">
      <c r="A13" s="4" t="s">
        <v>8</v>
      </c>
      <c r="B13" s="16" t="s">
        <v>15</v>
      </c>
      <c r="C13" s="11">
        <f>C10*0.075</f>
        <v>141.975</v>
      </c>
      <c r="D13" s="5" t="s">
        <v>8</v>
      </c>
      <c r="E13" s="11">
        <f>E10*0.075</f>
        <v>108.675</v>
      </c>
      <c r="F13" s="5" t="s">
        <v>8</v>
      </c>
      <c r="G13" s="12">
        <f>G10*0.2</f>
        <v>82.80000000000001</v>
      </c>
    </row>
    <row r="14" spans="1:7" ht="49.5" customHeight="1" thickBot="1">
      <c r="A14" s="91" t="s">
        <v>7</v>
      </c>
      <c r="B14" s="92" t="s">
        <v>16</v>
      </c>
      <c r="C14" s="11">
        <f>C10*0.05</f>
        <v>94.65</v>
      </c>
      <c r="D14" s="93" t="s">
        <v>7</v>
      </c>
      <c r="E14" s="11">
        <f>E10*0.05</f>
        <v>72.45</v>
      </c>
      <c r="F14" s="19"/>
      <c r="G14" s="14"/>
    </row>
    <row r="15" spans="1:7" ht="49.5" customHeight="1" thickBot="1">
      <c r="A15" s="91" t="s">
        <v>6</v>
      </c>
      <c r="B15" s="92" t="s">
        <v>17</v>
      </c>
      <c r="C15" s="11">
        <f>C10*0.025</f>
        <v>47.325</v>
      </c>
      <c r="D15" s="93" t="s">
        <v>6</v>
      </c>
      <c r="E15" s="11">
        <f>E10*0.025</f>
        <v>36.225</v>
      </c>
      <c r="F15" s="19"/>
      <c r="G15" s="14"/>
    </row>
    <row r="16" spans="1:7" ht="49.5" customHeight="1" thickBot="1">
      <c r="A16" s="91" t="s">
        <v>9</v>
      </c>
      <c r="B16" s="92" t="s">
        <v>18</v>
      </c>
      <c r="C16" s="59">
        <f>C10*0.0125</f>
        <v>23.6625</v>
      </c>
      <c r="D16" s="93" t="s">
        <v>9</v>
      </c>
      <c r="E16" s="59">
        <f>E10*0.0125</f>
        <v>18.1125</v>
      </c>
      <c r="F16" s="19"/>
      <c r="G16" s="14"/>
    </row>
    <row r="17" spans="1:7" ht="49.5" customHeight="1" thickBot="1">
      <c r="A17" s="6" t="s">
        <v>19</v>
      </c>
      <c r="B17" s="17"/>
      <c r="C17" s="81">
        <f>C11+C12+(C13*2)+(C14*4)+(C15*8)+(C16*16)+C9</f>
        <v>2277</v>
      </c>
      <c r="D17" s="7"/>
      <c r="E17" s="82">
        <f>E11+E12+(E13*2)+(E14*4)+(E15*8)+(E16*16)</f>
        <v>1449</v>
      </c>
      <c r="F17" s="7"/>
      <c r="G17" s="82">
        <f>G11+G12+(G13*2)+(G14*4)+(G15*8)+(G16*16)</f>
        <v>414</v>
      </c>
    </row>
    <row r="18" spans="1:7" ht="49.5" customHeight="1" thickBot="1">
      <c r="A18" s="116" t="s">
        <v>11</v>
      </c>
      <c r="B18" s="117"/>
      <c r="C18" s="117"/>
      <c r="D18" s="117"/>
      <c r="E18" s="125">
        <f>C17+E17+G17</f>
        <v>4140</v>
      </c>
      <c r="F18" s="126"/>
      <c r="G18" s="100"/>
    </row>
  </sheetData>
  <sheetProtection/>
  <mergeCells count="7">
    <mergeCell ref="A18:D18"/>
    <mergeCell ref="A2:B2"/>
    <mergeCell ref="A10:B10"/>
    <mergeCell ref="A1:G1"/>
    <mergeCell ref="D2:E2"/>
    <mergeCell ref="A8:B8"/>
    <mergeCell ref="E18:G18"/>
  </mergeCells>
  <printOptions horizontalCentered="1" verticalCentered="1"/>
  <pageMargins left="0.34" right="0.39" top="0.5118110236220472" bottom="0.5118110236220472" header="0.5118110236220472" footer="0.5118110236220472"/>
  <pageSetup fitToHeight="1" fitToWidth="1" horizontalDpi="360" verticalDpi="36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75" zoomScaleNormal="75" zoomScalePageLayoutView="0" workbookViewId="0" topLeftCell="A1">
      <selection activeCell="I9" sqref="I9"/>
    </sheetView>
  </sheetViews>
  <sheetFormatPr defaultColWidth="11.421875" defaultRowHeight="12.75"/>
  <cols>
    <col min="1" max="1" width="32.7109375" style="0" customWidth="1"/>
    <col min="2" max="2" width="15.421875" style="0" bestFit="1" customWidth="1"/>
    <col min="3" max="3" width="20.7109375" style="0" bestFit="1" customWidth="1"/>
    <col min="4" max="4" width="20.00390625" style="0" bestFit="1" customWidth="1"/>
    <col min="5" max="5" width="21.7109375" style="0" bestFit="1" customWidth="1"/>
    <col min="6" max="6" width="20.00390625" style="0" bestFit="1" customWidth="1"/>
    <col min="7" max="7" width="21.7109375" style="0" customWidth="1"/>
    <col min="8" max="8" width="18.140625" style="0" customWidth="1"/>
  </cols>
  <sheetData>
    <row r="1" spans="1:4" ht="49.5" customHeight="1" thickBot="1">
      <c r="A1" s="120" t="s">
        <v>23</v>
      </c>
      <c r="B1" s="121"/>
      <c r="C1" s="121"/>
      <c r="D1" s="122"/>
    </row>
    <row r="2" spans="1:4" ht="49.5" customHeight="1" thickBot="1">
      <c r="A2" s="127">
        <v>256</v>
      </c>
      <c r="B2" s="128"/>
      <c r="C2" s="1" t="s">
        <v>0</v>
      </c>
      <c r="D2" s="109">
        <v>15</v>
      </c>
    </row>
    <row r="3" spans="1:4" ht="49.5" customHeight="1" thickBot="1">
      <c r="A3" s="2" t="s">
        <v>12</v>
      </c>
      <c r="B3" s="3"/>
      <c r="C3" s="3"/>
      <c r="D3" s="8">
        <f>A2*D2</f>
        <v>3840</v>
      </c>
    </row>
    <row r="4" spans="1:4" ht="49.5" customHeight="1" thickBot="1">
      <c r="A4" s="2" t="s">
        <v>14</v>
      </c>
      <c r="B4" s="3"/>
      <c r="C4" s="3"/>
      <c r="D4" s="110">
        <v>3800</v>
      </c>
    </row>
    <row r="5" spans="1:8" ht="49.5" customHeight="1" thickBot="1">
      <c r="A5" s="28" t="s">
        <v>3</v>
      </c>
      <c r="B5" s="29"/>
      <c r="C5" s="29"/>
      <c r="D5" s="101">
        <f>D3+D4</f>
        <v>7640</v>
      </c>
      <c r="E5" s="129" t="s">
        <v>40</v>
      </c>
      <c r="F5" s="129"/>
      <c r="G5" s="130" t="s">
        <v>42</v>
      </c>
      <c r="H5" s="130"/>
    </row>
    <row r="6" spans="1:8" ht="49.5" customHeight="1" thickBot="1" thickTop="1">
      <c r="A6" s="34" t="s">
        <v>4</v>
      </c>
      <c r="B6" s="35" t="s">
        <v>20</v>
      </c>
      <c r="C6" s="111">
        <v>1200</v>
      </c>
      <c r="D6" s="40">
        <f>C6</f>
        <v>1200</v>
      </c>
      <c r="E6" s="104">
        <f>($D$5-($F$11+$F$12+$F$13))*0.25</f>
        <v>1190</v>
      </c>
      <c r="F6" s="104">
        <f>E6</f>
        <v>1190</v>
      </c>
      <c r="G6" s="102" t="s">
        <v>41</v>
      </c>
      <c r="H6" s="103">
        <f>D5*0.25</f>
        <v>1910</v>
      </c>
    </row>
    <row r="7" spans="1:8" ht="49.5" customHeight="1" thickBot="1" thickTop="1">
      <c r="A7" s="36" t="s">
        <v>5</v>
      </c>
      <c r="B7" s="16" t="s">
        <v>20</v>
      </c>
      <c r="C7" s="111">
        <v>720</v>
      </c>
      <c r="D7" s="41">
        <f>C7</f>
        <v>720</v>
      </c>
      <c r="E7" s="104">
        <f>($D$5-($F$11+$F$12+$F$13))*0.15</f>
        <v>714</v>
      </c>
      <c r="F7" s="105">
        <f>E7</f>
        <v>714</v>
      </c>
      <c r="G7" s="108" t="s">
        <v>43</v>
      </c>
      <c r="H7" s="108">
        <f>D6*0.6</f>
        <v>720</v>
      </c>
    </row>
    <row r="8" spans="1:7" ht="49.5" customHeight="1" thickBot="1">
      <c r="A8" s="36" t="s">
        <v>8</v>
      </c>
      <c r="B8" s="16" t="s">
        <v>15</v>
      </c>
      <c r="C8" s="112">
        <v>480</v>
      </c>
      <c r="D8" s="42">
        <f>C8*2</f>
        <v>960</v>
      </c>
      <c r="E8" s="104">
        <f>($D$5-($F$11+$F$12+$F$13))*0.1</f>
        <v>476</v>
      </c>
      <c r="F8" s="105">
        <f>E8*2</f>
        <v>952</v>
      </c>
      <c r="G8" s="47"/>
    </row>
    <row r="9" spans="1:6" ht="49.5" customHeight="1" thickBot="1">
      <c r="A9" s="36" t="s">
        <v>7</v>
      </c>
      <c r="B9" s="16" t="s">
        <v>16</v>
      </c>
      <c r="C9" s="112">
        <v>240</v>
      </c>
      <c r="D9" s="42">
        <f>C9*4</f>
        <v>960</v>
      </c>
      <c r="E9" s="104">
        <f>($D$5-($F$11+$F$12+$F$13))*0.05</f>
        <v>238</v>
      </c>
      <c r="F9" s="105">
        <f>E9*4</f>
        <v>952</v>
      </c>
    </row>
    <row r="10" spans="1:6" ht="49.5" customHeight="1" thickBot="1">
      <c r="A10" s="36" t="s">
        <v>6</v>
      </c>
      <c r="B10" s="16" t="s">
        <v>17</v>
      </c>
      <c r="C10" s="112">
        <v>120</v>
      </c>
      <c r="D10" s="42">
        <f>C10*8</f>
        <v>960</v>
      </c>
      <c r="E10" s="104">
        <f>($D$5-($F$11+$F$12+$F$13))*0.025</f>
        <v>119</v>
      </c>
      <c r="F10" s="105">
        <f>E10*8</f>
        <v>952</v>
      </c>
    </row>
    <row r="11" spans="1:6" ht="49.5" customHeight="1" thickBot="1">
      <c r="A11" s="36" t="s">
        <v>9</v>
      </c>
      <c r="B11" s="16" t="s">
        <v>18</v>
      </c>
      <c r="C11" s="112">
        <v>60</v>
      </c>
      <c r="D11" s="42">
        <f>C11*16</f>
        <v>960</v>
      </c>
      <c r="E11" s="105">
        <f>E13*4</f>
        <v>60</v>
      </c>
      <c r="F11" s="105">
        <f>E11*16</f>
        <v>960</v>
      </c>
    </row>
    <row r="12" spans="1:6" ht="49.5" customHeight="1" thickBot="1">
      <c r="A12" s="37" t="s">
        <v>10</v>
      </c>
      <c r="B12" s="18">
        <f>B13-32</f>
        <v>32</v>
      </c>
      <c r="C12" s="112">
        <v>30</v>
      </c>
      <c r="D12" s="43">
        <f>C12*B12</f>
        <v>960</v>
      </c>
      <c r="E12" s="105">
        <f>E13*2</f>
        <v>30</v>
      </c>
      <c r="F12" s="105">
        <f>E12*B12</f>
        <v>960</v>
      </c>
    </row>
    <row r="13" spans="1:6" ht="49.5" customHeight="1" thickBot="1">
      <c r="A13" s="48" t="s">
        <v>22</v>
      </c>
      <c r="B13" s="38">
        <f>ROUNDUP(A2/4,0)</f>
        <v>64</v>
      </c>
      <c r="C13" s="113">
        <v>15</v>
      </c>
      <c r="D13" s="44">
        <f>C13*B13</f>
        <v>960</v>
      </c>
      <c r="E13" s="106">
        <f>D2</f>
        <v>15</v>
      </c>
      <c r="F13" s="105">
        <f>E13*B13</f>
        <v>960</v>
      </c>
    </row>
    <row r="14" spans="1:6" ht="49.5" customHeight="1" thickBot="1" thickTop="1">
      <c r="A14" s="31" t="s">
        <v>19</v>
      </c>
      <c r="B14" s="32"/>
      <c r="C14" s="33"/>
      <c r="D14" s="44">
        <f>SUM(D6:D13)</f>
        <v>7680</v>
      </c>
      <c r="E14" s="107"/>
      <c r="F14" s="105">
        <f>SUM(F6:F13)</f>
        <v>7640</v>
      </c>
    </row>
  </sheetData>
  <sheetProtection/>
  <mergeCells count="4">
    <mergeCell ref="A1:D1"/>
    <mergeCell ref="A2:B2"/>
    <mergeCell ref="E5:F5"/>
    <mergeCell ref="G5:H5"/>
  </mergeCells>
  <conditionalFormatting sqref="H11">
    <cfRule type="iconSet" priority="3" dxfId="0">
      <iconSet iconSet="3TrafficLights1">
        <cfvo type="percent" val="0"/>
        <cfvo type="num" val="$H$7"/>
        <cfvo type="num" val="$H$7"/>
      </iconSet>
    </cfRule>
  </conditionalFormatting>
  <conditionalFormatting sqref="C6">
    <cfRule type="iconSet" priority="2" dxfId="0">
      <iconSet iconSet="3TrafficLights2" reverse="1">
        <cfvo type="percent" val="0"/>
        <cfvo type="num" val="$H$6"/>
        <cfvo gte="0" type="num" val="$H$6"/>
      </iconSet>
    </cfRule>
  </conditionalFormatting>
  <conditionalFormatting sqref="C7">
    <cfRule type="iconSet" priority="1" dxfId="0">
      <iconSet iconSet="3TrafficLights2">
        <cfvo type="percent" val="0"/>
        <cfvo type="num" val="$H$7"/>
        <cfvo gte="0" type="num" val="$H$7"/>
      </iconSet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75" zoomScaleNormal="75" zoomScalePageLayoutView="0" workbookViewId="0" topLeftCell="A2">
      <selection activeCell="C6" sqref="C6:C7"/>
    </sheetView>
  </sheetViews>
  <sheetFormatPr defaultColWidth="11.421875" defaultRowHeight="12.75"/>
  <cols>
    <col min="1" max="1" width="32.7109375" style="0" customWidth="1"/>
    <col min="2" max="2" width="15.421875" style="0" bestFit="1" customWidth="1"/>
    <col min="3" max="3" width="20.7109375" style="0" bestFit="1" customWidth="1"/>
    <col min="4" max="4" width="20.00390625" style="0" bestFit="1" customWidth="1"/>
    <col min="5" max="5" width="21.7109375" style="0" bestFit="1" customWidth="1"/>
    <col min="6" max="6" width="20.00390625" style="0" bestFit="1" customWidth="1"/>
    <col min="7" max="7" width="21.7109375" style="0" customWidth="1"/>
    <col min="8" max="8" width="18.140625" style="0" customWidth="1"/>
  </cols>
  <sheetData>
    <row r="1" spans="1:4" ht="49.5" customHeight="1" thickBot="1">
      <c r="A1" s="120" t="s">
        <v>23</v>
      </c>
      <c r="B1" s="121"/>
      <c r="C1" s="121"/>
      <c r="D1" s="122"/>
    </row>
    <row r="2" spans="1:4" ht="49.5" customHeight="1" thickBot="1">
      <c r="A2" s="127">
        <v>280</v>
      </c>
      <c r="B2" s="128"/>
      <c r="C2" s="1" t="s">
        <v>0</v>
      </c>
      <c r="D2" s="109">
        <v>15</v>
      </c>
    </row>
    <row r="3" spans="1:4" ht="49.5" customHeight="1" thickBot="1">
      <c r="A3" s="2" t="s">
        <v>12</v>
      </c>
      <c r="B3" s="3"/>
      <c r="C3" s="3"/>
      <c r="D3" s="8">
        <f>A2*D2</f>
        <v>4200</v>
      </c>
    </row>
    <row r="4" spans="1:4" ht="49.5" customHeight="1" thickBot="1">
      <c r="A4" s="2" t="s">
        <v>14</v>
      </c>
      <c r="B4" s="3"/>
      <c r="C4" s="3"/>
      <c r="D4" s="110">
        <v>3750</v>
      </c>
    </row>
    <row r="5" spans="1:8" ht="49.5" customHeight="1" thickBot="1">
      <c r="A5" s="28" t="s">
        <v>3</v>
      </c>
      <c r="B5" s="29"/>
      <c r="C5" s="29"/>
      <c r="D5" s="101">
        <f>D3+D4</f>
        <v>7950</v>
      </c>
      <c r="E5" s="129" t="s">
        <v>40</v>
      </c>
      <c r="F5" s="129"/>
      <c r="G5" s="130" t="s">
        <v>42</v>
      </c>
      <c r="H5" s="130"/>
    </row>
    <row r="6" spans="1:8" ht="49.5" customHeight="1" thickBot="1" thickTop="1">
      <c r="A6" s="34" t="s">
        <v>4</v>
      </c>
      <c r="B6" s="35" t="s">
        <v>20</v>
      </c>
      <c r="C6" s="111"/>
      <c r="D6" s="40">
        <f>C6</f>
        <v>0</v>
      </c>
      <c r="E6" s="104">
        <f>($D$5-($F$11+$F$12+$F$13+$F$14))*0.25</f>
        <v>1213.5</v>
      </c>
      <c r="F6" s="104">
        <f>E6</f>
        <v>1213.5</v>
      </c>
      <c r="G6" s="102" t="s">
        <v>41</v>
      </c>
      <c r="H6" s="103">
        <f>D5*0.25</f>
        <v>1987.5</v>
      </c>
    </row>
    <row r="7" spans="1:8" ht="49.5" customHeight="1" thickBot="1" thickTop="1">
      <c r="A7" s="36" t="s">
        <v>5</v>
      </c>
      <c r="B7" s="16" t="s">
        <v>20</v>
      </c>
      <c r="C7" s="111"/>
      <c r="D7" s="41">
        <f>C7</f>
        <v>0</v>
      </c>
      <c r="E7" s="104">
        <f>($D$5-($F$11+$F$12+$F$13+$F$14))*0.15</f>
        <v>728.1</v>
      </c>
      <c r="F7" s="105">
        <f>E7</f>
        <v>728.1</v>
      </c>
      <c r="G7" s="108" t="s">
        <v>43</v>
      </c>
      <c r="H7" s="108">
        <f>D6*0.6</f>
        <v>0</v>
      </c>
    </row>
    <row r="8" spans="1:7" ht="49.5" customHeight="1" thickBot="1">
      <c r="A8" s="36" t="s">
        <v>8</v>
      </c>
      <c r="B8" s="16" t="s">
        <v>15</v>
      </c>
      <c r="C8" s="112"/>
      <c r="D8" s="42">
        <f>C8*2</f>
        <v>0</v>
      </c>
      <c r="E8" s="104">
        <f>($D$5-($F$11+$F$12+$F$13+$F$14))*0.1</f>
        <v>485.40000000000003</v>
      </c>
      <c r="F8" s="105">
        <f>E8*2</f>
        <v>970.8000000000001</v>
      </c>
      <c r="G8" s="47"/>
    </row>
    <row r="9" spans="1:6" ht="49.5" customHeight="1" thickBot="1">
      <c r="A9" s="36" t="s">
        <v>7</v>
      </c>
      <c r="B9" s="16" t="s">
        <v>16</v>
      </c>
      <c r="C9" s="112"/>
      <c r="D9" s="42">
        <f>C9*4</f>
        <v>0</v>
      </c>
      <c r="E9" s="104">
        <f>($D$5-($F$11+$F$12+$F$13+$F$14))*0.05</f>
        <v>242.70000000000002</v>
      </c>
      <c r="F9" s="105">
        <f>E9*4</f>
        <v>970.8000000000001</v>
      </c>
    </row>
    <row r="10" spans="1:6" ht="49.5" customHeight="1" thickBot="1">
      <c r="A10" s="36" t="s">
        <v>6</v>
      </c>
      <c r="B10" s="16" t="s">
        <v>17</v>
      </c>
      <c r="C10" s="112"/>
      <c r="D10" s="42">
        <f>C10*8</f>
        <v>0</v>
      </c>
      <c r="E10" s="104">
        <f>($D$5-($F$11+$F$12+$F$13+$F$14))*0.025</f>
        <v>121.35000000000001</v>
      </c>
      <c r="F10" s="105">
        <f>E10*8</f>
        <v>970.8000000000001</v>
      </c>
    </row>
    <row r="11" spans="1:6" ht="49.5" customHeight="1" thickBot="1">
      <c r="A11" s="36" t="s">
        <v>9</v>
      </c>
      <c r="B11" s="16" t="s">
        <v>18</v>
      </c>
      <c r="C11" s="112"/>
      <c r="D11" s="42">
        <f>C11*16</f>
        <v>0</v>
      </c>
      <c r="E11" s="105">
        <f>E14*4</f>
        <v>60</v>
      </c>
      <c r="F11" s="105">
        <f>E11*16</f>
        <v>960</v>
      </c>
    </row>
    <row r="12" spans="1:6" ht="49.5" customHeight="1" thickBot="1">
      <c r="A12" s="36" t="s">
        <v>25</v>
      </c>
      <c r="B12" s="16" t="s">
        <v>24</v>
      </c>
      <c r="C12" s="112"/>
      <c r="D12" s="42">
        <f>C12*32</f>
        <v>0</v>
      </c>
      <c r="E12" s="105">
        <f>E14*2</f>
        <v>30</v>
      </c>
      <c r="F12" s="105">
        <f>E12*32</f>
        <v>960</v>
      </c>
    </row>
    <row r="13" spans="1:6" ht="49.5" customHeight="1" thickBot="1">
      <c r="A13" s="37" t="s">
        <v>10</v>
      </c>
      <c r="B13" s="18">
        <f>B14-64</f>
        <v>6</v>
      </c>
      <c r="C13" s="112"/>
      <c r="D13" s="43">
        <f>C13*B13</f>
        <v>0</v>
      </c>
      <c r="E13" s="105">
        <f>E14*1.4</f>
        <v>21</v>
      </c>
      <c r="F13" s="105">
        <f>E13*B13</f>
        <v>126</v>
      </c>
    </row>
    <row r="14" spans="1:6" ht="49.5" customHeight="1" thickBot="1">
      <c r="A14" s="48" t="s">
        <v>22</v>
      </c>
      <c r="B14" s="38">
        <f>ROUNDUP(A2/4,0)</f>
        <v>70</v>
      </c>
      <c r="C14" s="113"/>
      <c r="D14" s="44">
        <f>C14*B14</f>
        <v>0</v>
      </c>
      <c r="E14" s="106">
        <f>D2</f>
        <v>15</v>
      </c>
      <c r="F14" s="105">
        <f>E14*B14</f>
        <v>1050</v>
      </c>
    </row>
    <row r="15" spans="1:6" ht="49.5" customHeight="1" thickBot="1" thickTop="1">
      <c r="A15" s="31" t="s">
        <v>19</v>
      </c>
      <c r="B15" s="32"/>
      <c r="C15" s="33"/>
      <c r="D15" s="44">
        <f>SUM(D6:D14)</f>
        <v>0</v>
      </c>
      <c r="E15" s="107"/>
      <c r="F15" s="105">
        <f>SUM(F6:F14)</f>
        <v>7950</v>
      </c>
    </row>
  </sheetData>
  <sheetProtection/>
  <mergeCells count="4">
    <mergeCell ref="A1:D1"/>
    <mergeCell ref="A2:B2"/>
    <mergeCell ref="E5:F5"/>
    <mergeCell ref="G5:H5"/>
  </mergeCells>
  <conditionalFormatting sqref="H11">
    <cfRule type="iconSet" priority="9" dxfId="0">
      <iconSet iconSet="3TrafficLights1">
        <cfvo type="percent" val="0"/>
        <cfvo type="num" val="$H$7"/>
        <cfvo type="num" val="$H$7"/>
      </iconSet>
    </cfRule>
  </conditionalFormatting>
  <conditionalFormatting sqref="C6">
    <cfRule type="iconSet" priority="2" dxfId="0">
      <iconSet iconSet="3TrafficLights2" reverse="1">
        <cfvo type="percent" val="0"/>
        <cfvo type="num" val="$H$6"/>
        <cfvo gte="0" type="num" val="$H$6"/>
      </iconSet>
    </cfRule>
  </conditionalFormatting>
  <conditionalFormatting sqref="C7">
    <cfRule type="iconSet" priority="1" dxfId="0">
      <iconSet iconSet="3TrafficLights2">
        <cfvo type="percent" val="0"/>
        <cfvo type="num" val="$H$7"/>
        <cfvo gte="0" type="num" val="$H$7"/>
      </iconSet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75" zoomScaleNormal="75" zoomScalePageLayoutView="0" workbookViewId="0" topLeftCell="A10">
      <selection activeCell="K19" sqref="K19"/>
    </sheetView>
  </sheetViews>
  <sheetFormatPr defaultColWidth="11.421875" defaultRowHeight="12.75"/>
  <cols>
    <col min="1" max="1" width="27.00390625" style="0" bestFit="1" customWidth="1"/>
    <col min="2" max="2" width="6.7109375" style="0" bestFit="1" customWidth="1"/>
    <col min="3" max="4" width="18.00390625" style="0" bestFit="1" customWidth="1"/>
    <col min="5" max="5" width="16.7109375" style="0" bestFit="1" customWidth="1"/>
    <col min="6" max="6" width="6.7109375" style="0" bestFit="1" customWidth="1"/>
    <col min="7" max="8" width="18.00390625" style="0" bestFit="1" customWidth="1"/>
  </cols>
  <sheetData>
    <row r="1" spans="1:8" ht="20.25">
      <c r="A1" s="142" t="s">
        <v>26</v>
      </c>
      <c r="B1" s="143"/>
      <c r="C1" s="143"/>
      <c r="D1" s="143"/>
      <c r="E1" s="143"/>
      <c r="F1" s="143"/>
      <c r="G1" s="143"/>
      <c r="H1" s="144"/>
    </row>
    <row r="2" spans="1:8" ht="20.25" customHeight="1" thickBot="1">
      <c r="A2" s="148" t="s">
        <v>28</v>
      </c>
      <c r="B2" s="149"/>
      <c r="C2" s="149"/>
      <c r="D2" s="149"/>
      <c r="E2" s="149"/>
      <c r="F2" s="149"/>
      <c r="G2" s="149"/>
      <c r="H2" s="150"/>
    </row>
    <row r="3" spans="1:8" ht="49.5" customHeight="1" thickBot="1">
      <c r="A3" s="136">
        <v>273</v>
      </c>
      <c r="B3" s="137"/>
      <c r="C3" s="1" t="s">
        <v>0</v>
      </c>
      <c r="D3" s="27">
        <v>12</v>
      </c>
      <c r="E3" s="68"/>
      <c r="F3" s="68"/>
      <c r="G3" s="68"/>
      <c r="H3" s="69"/>
    </row>
    <row r="4" spans="1:8" ht="49.5" customHeight="1" thickBot="1">
      <c r="A4" s="2" t="s">
        <v>12</v>
      </c>
      <c r="B4" s="3"/>
      <c r="C4" s="3"/>
      <c r="D4" s="8">
        <f>A3*D3</f>
        <v>3276</v>
      </c>
      <c r="E4" s="50"/>
      <c r="F4" s="49"/>
      <c r="G4" s="50"/>
      <c r="H4" s="70"/>
    </row>
    <row r="5" spans="1:8" ht="49.5" customHeight="1" thickBot="1">
      <c r="A5" s="2" t="s">
        <v>1</v>
      </c>
      <c r="B5" s="3"/>
      <c r="C5" s="3"/>
      <c r="D5" s="77">
        <v>30</v>
      </c>
      <c r="E5" s="50"/>
      <c r="F5" s="49"/>
      <c r="G5" s="50"/>
      <c r="H5" s="70"/>
    </row>
    <row r="6" spans="1:8" ht="49.5" customHeight="1" thickBot="1">
      <c r="A6" s="145" t="s">
        <v>27</v>
      </c>
      <c r="B6" s="146"/>
      <c r="C6" s="22">
        <v>25</v>
      </c>
      <c r="D6" s="8">
        <f>D4*C6/100</f>
        <v>819</v>
      </c>
      <c r="E6" s="50"/>
      <c r="F6" s="49"/>
      <c r="G6" s="50"/>
      <c r="H6" s="71"/>
    </row>
    <row r="7" spans="1:8" ht="49.5" customHeight="1" thickBot="1">
      <c r="A7" s="145" t="s">
        <v>14</v>
      </c>
      <c r="B7" s="147"/>
      <c r="C7" s="146"/>
      <c r="D7" s="15"/>
      <c r="E7" s="50"/>
      <c r="F7" s="49"/>
      <c r="G7" s="50"/>
      <c r="H7" s="70"/>
    </row>
    <row r="8" spans="1:8" ht="49.5" customHeight="1" thickBot="1">
      <c r="A8" s="2" t="s">
        <v>3</v>
      </c>
      <c r="B8" s="3"/>
      <c r="C8" s="3"/>
      <c r="D8" s="8">
        <f>D4+D6+D7</f>
        <v>4095</v>
      </c>
      <c r="E8" s="72"/>
      <c r="F8" s="73"/>
      <c r="G8" s="72"/>
      <c r="H8" s="74"/>
    </row>
    <row r="9" spans="1:8" ht="49.5" customHeight="1" thickBot="1">
      <c r="A9" s="118" t="s">
        <v>30</v>
      </c>
      <c r="B9" s="119"/>
      <c r="C9" s="138">
        <f>D8*0.7</f>
        <v>2866.5</v>
      </c>
      <c r="D9" s="139"/>
      <c r="E9" s="141" t="s">
        <v>29</v>
      </c>
      <c r="F9" s="119"/>
      <c r="G9" s="138">
        <f>D8*0.3</f>
        <v>1228.5</v>
      </c>
      <c r="H9" s="140"/>
    </row>
    <row r="10" spans="1:8" ht="49.5" customHeight="1" thickBot="1">
      <c r="A10" s="54" t="s">
        <v>4</v>
      </c>
      <c r="B10" s="55" t="s">
        <v>20</v>
      </c>
      <c r="C10" s="33">
        <f>((C9)-$D$15-$D$16-$D$17)*0.25</f>
        <v>221.25</v>
      </c>
      <c r="D10" s="56">
        <f>C10</f>
        <v>221.25</v>
      </c>
      <c r="E10" s="57" t="s">
        <v>4</v>
      </c>
      <c r="F10" s="55" t="s">
        <v>20</v>
      </c>
      <c r="G10" s="59">
        <f>($G$9-$H$15)*0.2</f>
        <v>202.5</v>
      </c>
      <c r="H10" s="58">
        <f>G10</f>
        <v>202.5</v>
      </c>
    </row>
    <row r="11" spans="1:8" ht="49.5" customHeight="1" thickBot="1">
      <c r="A11" s="4" t="s">
        <v>5</v>
      </c>
      <c r="B11" s="16" t="s">
        <v>20</v>
      </c>
      <c r="C11" s="11">
        <f>(C9-$D$15-$D$16-$D$17)*0.15</f>
        <v>132.75</v>
      </c>
      <c r="D11" s="41">
        <f>C11</f>
        <v>132.75</v>
      </c>
      <c r="E11" s="36" t="s">
        <v>5</v>
      </c>
      <c r="F11" s="16" t="s">
        <v>20</v>
      </c>
      <c r="G11" s="59">
        <f>($G$9-$H$15)*0.15</f>
        <v>151.875</v>
      </c>
      <c r="H11" s="51">
        <f>G11</f>
        <v>151.875</v>
      </c>
    </row>
    <row r="12" spans="1:8" ht="49.5" customHeight="1" thickBot="1">
      <c r="A12" s="4" t="s">
        <v>8</v>
      </c>
      <c r="B12" s="16" t="s">
        <v>15</v>
      </c>
      <c r="C12" s="11">
        <f>(C9-$D$15-$D$16-$D$17)*0.1</f>
        <v>88.5</v>
      </c>
      <c r="D12" s="42">
        <f>C12*2</f>
        <v>177</v>
      </c>
      <c r="E12" s="36" t="s">
        <v>8</v>
      </c>
      <c r="F12" s="16" t="s">
        <v>15</v>
      </c>
      <c r="G12" s="59">
        <f>($G$9-$H$15)*0.1</f>
        <v>101.25</v>
      </c>
      <c r="H12" s="52">
        <f>G12*2</f>
        <v>202.5</v>
      </c>
    </row>
    <row r="13" spans="1:8" ht="49.5" customHeight="1" thickBot="1">
      <c r="A13" s="4" t="s">
        <v>7</v>
      </c>
      <c r="B13" s="16" t="s">
        <v>16</v>
      </c>
      <c r="C13" s="11">
        <f>(C9-$D$15-$D$16-$D$17)*0.05</f>
        <v>44.25</v>
      </c>
      <c r="D13" s="42">
        <f>C13*4</f>
        <v>177</v>
      </c>
      <c r="E13" s="36" t="s">
        <v>7</v>
      </c>
      <c r="F13" s="16" t="s">
        <v>16</v>
      </c>
      <c r="G13" s="59">
        <f>($G$9-$H$15)*0.05</f>
        <v>50.625</v>
      </c>
      <c r="H13" s="52">
        <f>G13*4</f>
        <v>202.5</v>
      </c>
    </row>
    <row r="14" spans="1:8" ht="49.5" customHeight="1" thickBot="1">
      <c r="A14" s="4" t="s">
        <v>6</v>
      </c>
      <c r="B14" s="16" t="s">
        <v>17</v>
      </c>
      <c r="C14" s="11">
        <f>(C9-$D$15-$D$16-$D$17)*(0.2/8)</f>
        <v>22.125</v>
      </c>
      <c r="D14" s="42">
        <f>C14*8</f>
        <v>177</v>
      </c>
      <c r="E14" s="36" t="s">
        <v>6</v>
      </c>
      <c r="F14" s="16" t="s">
        <v>17</v>
      </c>
      <c r="G14" s="59">
        <f>($G$9-$H$15)*0.25/8</f>
        <v>31.640625</v>
      </c>
      <c r="H14" s="52">
        <f>G14*8</f>
        <v>253.125</v>
      </c>
    </row>
    <row r="15" spans="1:8" ht="49.5" customHeight="1" thickBot="1">
      <c r="A15" s="4" t="s">
        <v>9</v>
      </c>
      <c r="B15" s="16" t="s">
        <v>18</v>
      </c>
      <c r="C15" s="46">
        <v>24</v>
      </c>
      <c r="D15" s="42">
        <f>C15*16</f>
        <v>384</v>
      </c>
      <c r="E15" s="36" t="s">
        <v>9</v>
      </c>
      <c r="F15" s="16" t="s">
        <v>18</v>
      </c>
      <c r="G15" s="46">
        <v>13.5</v>
      </c>
      <c r="H15" s="52">
        <f>G15*16</f>
        <v>216</v>
      </c>
    </row>
    <row r="16" spans="1:8" ht="49.5" customHeight="1" thickBot="1">
      <c r="A16" s="9" t="s">
        <v>10</v>
      </c>
      <c r="B16" s="18">
        <f>B17-32</f>
        <v>37</v>
      </c>
      <c r="C16" s="46">
        <v>18</v>
      </c>
      <c r="D16" s="43">
        <f>C16*B16</f>
        <v>666</v>
      </c>
      <c r="E16" s="60"/>
      <c r="F16" s="61"/>
      <c r="G16" s="23"/>
      <c r="H16" s="62"/>
    </row>
    <row r="17" spans="1:8" ht="49.5" customHeight="1" thickBot="1">
      <c r="A17" s="53" t="s">
        <v>22</v>
      </c>
      <c r="B17" s="38">
        <f>ROUNDUP(A3/4,0)</f>
        <v>69</v>
      </c>
      <c r="C17" s="67">
        <v>13.5</v>
      </c>
      <c r="D17" s="44">
        <f>C17*B17</f>
        <v>931.5</v>
      </c>
      <c r="E17" s="63"/>
      <c r="F17" s="64"/>
      <c r="G17" s="65"/>
      <c r="H17" s="66"/>
    </row>
    <row r="18" spans="1:8" ht="49.5" customHeight="1" thickBot="1" thickTop="1">
      <c r="A18" s="132" t="s">
        <v>19</v>
      </c>
      <c r="B18" s="133"/>
      <c r="C18" s="134"/>
      <c r="D18" s="75">
        <f>SUM(D10:D17)</f>
        <v>2866.5</v>
      </c>
      <c r="E18" s="135" t="s">
        <v>19</v>
      </c>
      <c r="F18" s="133"/>
      <c r="G18" s="134"/>
      <c r="H18" s="76">
        <f>SUM(H10:H17)</f>
        <v>1228.5</v>
      </c>
    </row>
    <row r="19" spans="1:8" ht="36.75" customHeight="1" thickBot="1">
      <c r="A19" s="116" t="s">
        <v>11</v>
      </c>
      <c r="B19" s="117"/>
      <c r="C19" s="117"/>
      <c r="D19" s="117"/>
      <c r="E19" s="117"/>
      <c r="F19" s="117"/>
      <c r="G19" s="131"/>
      <c r="H19" s="76">
        <f>D18+H18</f>
        <v>4095</v>
      </c>
    </row>
  </sheetData>
  <sheetProtection/>
  <mergeCells count="12">
    <mergeCell ref="A1:H1"/>
    <mergeCell ref="A6:B6"/>
    <mergeCell ref="A7:C7"/>
    <mergeCell ref="A2:H2"/>
    <mergeCell ref="A19:G19"/>
    <mergeCell ref="A18:C18"/>
    <mergeCell ref="E18:G18"/>
    <mergeCell ref="A3:B3"/>
    <mergeCell ref="C9:D9"/>
    <mergeCell ref="G9:H9"/>
    <mergeCell ref="A9:B9"/>
    <mergeCell ref="E9:F9"/>
  </mergeCells>
  <printOptions/>
  <pageMargins left="0.22" right="0.18" top="0.3" bottom="0.49" header="0.31" footer="0.4921259845"/>
  <pageSetup fitToHeight="1" fitToWidth="1"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8">
      <selection activeCell="B14" sqref="B14"/>
    </sheetView>
  </sheetViews>
  <sheetFormatPr defaultColWidth="11.421875" defaultRowHeight="12.75"/>
  <cols>
    <col min="1" max="1" width="32.7109375" style="0" customWidth="1"/>
    <col min="2" max="2" width="15.421875" style="0" bestFit="1" customWidth="1"/>
    <col min="3" max="3" width="18.00390625" style="0" bestFit="1" customWidth="1"/>
    <col min="4" max="4" width="34.7109375" style="0" customWidth="1"/>
    <col min="5" max="5" width="18.00390625" style="0" bestFit="1" customWidth="1"/>
  </cols>
  <sheetData>
    <row r="1" spans="1:4" ht="49.5" customHeight="1" thickBot="1">
      <c r="A1" s="120" t="s">
        <v>21</v>
      </c>
      <c r="B1" s="121"/>
      <c r="C1" s="121"/>
      <c r="D1" s="122"/>
    </row>
    <row r="2" spans="1:4" ht="49.5" customHeight="1" thickBot="1">
      <c r="A2" s="136">
        <v>256</v>
      </c>
      <c r="B2" s="137"/>
      <c r="C2" s="1" t="s">
        <v>0</v>
      </c>
      <c r="D2" s="27">
        <v>13.5</v>
      </c>
    </row>
    <row r="3" spans="1:4" ht="49.5" customHeight="1" thickBot="1">
      <c r="A3" s="2" t="s">
        <v>12</v>
      </c>
      <c r="B3" s="3"/>
      <c r="C3" s="3"/>
      <c r="D3" s="8">
        <f>A2*D2</f>
        <v>3456</v>
      </c>
    </row>
    <row r="4" spans="1:4" ht="49.5" customHeight="1" thickBot="1">
      <c r="A4" s="2" t="s">
        <v>14</v>
      </c>
      <c r="B4" s="3"/>
      <c r="C4" s="3"/>
      <c r="D4" s="15">
        <v>3750</v>
      </c>
    </row>
    <row r="5" spans="1:4" ht="49.5" customHeight="1" thickBot="1">
      <c r="A5" s="28" t="s">
        <v>3</v>
      </c>
      <c r="B5" s="29"/>
      <c r="C5" s="29"/>
      <c r="D5" s="30">
        <f>D3+D4</f>
        <v>7206</v>
      </c>
    </row>
    <row r="6" spans="1:6" ht="49.5" customHeight="1" thickBot="1" thickTop="1">
      <c r="A6" s="34" t="s">
        <v>4</v>
      </c>
      <c r="B6" s="35" t="s">
        <v>20</v>
      </c>
      <c r="C6" s="11">
        <f>($D$5-$D$11-$D$12-$D$13-$D$14)*0.2</f>
        <v>977.2</v>
      </c>
      <c r="D6" s="40">
        <f>C6</f>
        <v>977.2</v>
      </c>
      <c r="F6" s="47"/>
    </row>
    <row r="7" spans="1:4" ht="49.5" customHeight="1" thickBot="1">
      <c r="A7" s="36" t="s">
        <v>5</v>
      </c>
      <c r="B7" s="16" t="s">
        <v>20</v>
      </c>
      <c r="C7" s="11">
        <f>($D$5-$D$11-$D$12-$D$13-$D$14)*0.15</f>
        <v>732.9</v>
      </c>
      <c r="D7" s="41">
        <f>C7</f>
        <v>732.9</v>
      </c>
    </row>
    <row r="8" spans="1:4" ht="49.5" customHeight="1" thickBot="1">
      <c r="A8" s="36" t="s">
        <v>8</v>
      </c>
      <c r="B8" s="16" t="s">
        <v>15</v>
      </c>
      <c r="C8" s="11">
        <f>($D$5-$D$11-$D$12-$D$13-$D$14)*0.1</f>
        <v>488.6</v>
      </c>
      <c r="D8" s="42">
        <f>C8*2</f>
        <v>977.2</v>
      </c>
    </row>
    <row r="9" spans="1:4" ht="49.5" customHeight="1" thickBot="1">
      <c r="A9" s="36" t="s">
        <v>7</v>
      </c>
      <c r="B9" s="16" t="s">
        <v>16</v>
      </c>
      <c r="C9" s="11">
        <f>($D$5-$D$11-$D$12-$D$13-$D$14)*0.05</f>
        <v>244.3</v>
      </c>
      <c r="D9" s="42">
        <f>C9*4</f>
        <v>977.2</v>
      </c>
    </row>
    <row r="10" spans="1:4" ht="49.5" customHeight="1" thickBot="1">
      <c r="A10" s="36" t="s">
        <v>6</v>
      </c>
      <c r="B10" s="16" t="s">
        <v>17</v>
      </c>
      <c r="C10" s="11">
        <f>($D$5-$D$11-$D$12-$D$13-$D$14)*(25/8/100)</f>
        <v>152.6875</v>
      </c>
      <c r="D10" s="42">
        <f>C10*8</f>
        <v>1221.5</v>
      </c>
    </row>
    <row r="11" spans="1:4" ht="49.5" customHeight="1" thickBot="1">
      <c r="A11" s="36" t="s">
        <v>9</v>
      </c>
      <c r="B11" s="16" t="s">
        <v>18</v>
      </c>
      <c r="C11" s="46">
        <v>35</v>
      </c>
      <c r="D11" s="42">
        <f>C11*16</f>
        <v>560</v>
      </c>
    </row>
    <row r="12" spans="1:4" ht="49.5" customHeight="1" thickBot="1">
      <c r="A12" s="9" t="s">
        <v>10</v>
      </c>
      <c r="B12" s="18">
        <f>B13-32</f>
        <v>32</v>
      </c>
      <c r="C12" s="46">
        <v>25</v>
      </c>
      <c r="D12" s="99">
        <f>C12*B12</f>
        <v>800</v>
      </c>
    </row>
    <row r="13" spans="1:4" ht="49.5" customHeight="1" thickBot="1">
      <c r="A13" s="95" t="s">
        <v>37</v>
      </c>
      <c r="B13" s="96">
        <f>ROUNDUP(B14/2,0)</f>
        <v>64</v>
      </c>
      <c r="C13" s="97">
        <v>15</v>
      </c>
      <c r="D13" s="98">
        <f>C13*B13</f>
        <v>960</v>
      </c>
    </row>
    <row r="14" spans="1:4" ht="49.5" customHeight="1" thickBot="1">
      <c r="A14" s="48" t="s">
        <v>38</v>
      </c>
      <c r="B14" s="94">
        <f>ROUNDUP(A2/2,0)</f>
        <v>128</v>
      </c>
      <c r="C14" s="39">
        <v>0</v>
      </c>
      <c r="D14" s="44">
        <f>C14*B14</f>
        <v>0</v>
      </c>
    </row>
    <row r="15" spans="1:5" ht="49.5" customHeight="1" thickBot="1" thickTop="1">
      <c r="A15" s="31" t="s">
        <v>19</v>
      </c>
      <c r="B15" s="32"/>
      <c r="C15" s="33"/>
      <c r="D15" s="45">
        <f>SUM(D6:D14)</f>
        <v>7206</v>
      </c>
      <c r="E15" s="45">
        <f>D15-D5</f>
        <v>0</v>
      </c>
    </row>
  </sheetData>
  <sheetProtection/>
  <mergeCells count="2">
    <mergeCell ref="A1:D1"/>
    <mergeCell ref="A2:B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HBL</dc:creator>
  <cp:keywords/>
  <dc:description/>
  <cp:lastModifiedBy>darty</cp:lastModifiedBy>
  <cp:lastPrinted>2007-06-14T10:41:30Z</cp:lastPrinted>
  <dcterms:created xsi:type="dcterms:W3CDTF">2002-06-07T06:51:55Z</dcterms:created>
  <dcterms:modified xsi:type="dcterms:W3CDTF">2010-12-23T21:55:07Z</dcterms:modified>
  <cp:category/>
  <cp:version/>
  <cp:contentType/>
  <cp:contentStatus/>
</cp:coreProperties>
</file>