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320" windowHeight="9780" activeTab="1"/>
  </bookViews>
  <sheets>
    <sheet name="12 à 64" sheetId="1" r:id="rId1"/>
    <sheet name="65 à 512" sheetId="2" r:id="rId2"/>
  </sheets>
  <definedNames/>
  <calcPr fullCalcOnLoad="1"/>
</workbook>
</file>

<file path=xl/sharedStrings.xml><?xml version="1.0" encoding="utf-8"?>
<sst xmlns="http://schemas.openxmlformats.org/spreadsheetml/2006/main" count="276" uniqueCount="78">
  <si>
    <t xml:space="preserve"> </t>
  </si>
  <si>
    <t>CALCULS</t>
  </si>
  <si>
    <t>DISTRIBUER</t>
  </si>
  <si>
    <t>MOYENNE</t>
  </si>
  <si>
    <t>ARRONDI.INF</t>
  </si>
  <si>
    <t>ARRONDI,VRAI</t>
  </si>
  <si>
    <t>ARRONDI.VRAI</t>
  </si>
  <si>
    <t>DIFFERENCE/A</t>
  </si>
  <si>
    <t>DIFFERENCE/B</t>
  </si>
  <si>
    <t xml:space="preserve"> SOMME EFFECTIVEMENT DISTRIBUEE</t>
  </si>
  <si>
    <t xml:space="preserve">Nombre </t>
  </si>
  <si>
    <t>Participation</t>
  </si>
  <si>
    <t>Total</t>
  </si>
  <si>
    <t xml:space="preserve">Surplus </t>
  </si>
  <si>
    <t>d' équipe</t>
  </si>
  <si>
    <t xml:space="preserve">par équipe </t>
  </si>
  <si>
    <t>perçu</t>
  </si>
  <si>
    <t xml:space="preserve"> %</t>
  </si>
  <si>
    <t xml:space="preserve">surplus </t>
  </si>
  <si>
    <t>Principal</t>
  </si>
  <si>
    <t>Euros</t>
  </si>
  <si>
    <t>PRINCIPAL</t>
  </si>
  <si>
    <t>Vainqueurs</t>
  </si>
  <si>
    <t>Nbre</t>
  </si>
  <si>
    <t>Montant (€)</t>
  </si>
  <si>
    <t>Déroulement parties</t>
  </si>
  <si>
    <t>(à indemniser)</t>
  </si>
  <si>
    <t>par</t>
  </si>
  <si>
    <t>Equipes</t>
  </si>
  <si>
    <t>par équipe</t>
  </si>
  <si>
    <t>Equipes qui</t>
  </si>
  <si>
    <t>BB</t>
  </si>
  <si>
    <t>Qualifié</t>
  </si>
  <si>
    <t>Equipe</t>
  </si>
  <si>
    <t>à indemniser</t>
  </si>
  <si>
    <t>arrondie</t>
  </si>
  <si>
    <t>jouent</t>
  </si>
  <si>
    <t>T suiv.</t>
  </si>
  <si>
    <t>FINALE</t>
  </si>
  <si>
    <t>1/2 FINALE</t>
  </si>
  <si>
    <t>TOTAL</t>
  </si>
  <si>
    <t>CONSOLANTE</t>
  </si>
  <si>
    <t>1/4 FINALE</t>
  </si>
  <si>
    <t>1/8 FINALE</t>
  </si>
  <si>
    <t>1/16 FINALE</t>
  </si>
  <si>
    <t>DE 4</t>
  </si>
  <si>
    <t>DE 3</t>
  </si>
  <si>
    <t>NOMBRE DE POULES</t>
  </si>
  <si>
    <t>GAGNANTS DES POULES</t>
  </si>
  <si>
    <t>1/4</t>
  </si>
  <si>
    <t>1/8</t>
  </si>
  <si>
    <t>1/16</t>
  </si>
  <si>
    <t>1/32</t>
  </si>
  <si>
    <t>1/64</t>
  </si>
  <si>
    <t>1/128</t>
  </si>
  <si>
    <t xml:space="preserve">1/32 FINALE </t>
  </si>
  <si>
    <t>1/64 FINALE</t>
  </si>
  <si>
    <t>1/128 FINALE</t>
  </si>
  <si>
    <t>MISES+SURPLUS-POULES =</t>
  </si>
  <si>
    <t>Consol.</t>
  </si>
  <si>
    <t>Poules</t>
  </si>
  <si>
    <t xml:space="preserve">DIFFERENCE TOTALE A+B </t>
  </si>
  <si>
    <t>1/32 FINALE</t>
  </si>
  <si>
    <t>PËRDANTS DES POULES</t>
  </si>
  <si>
    <t>Gagnants</t>
  </si>
  <si>
    <t>des</t>
  </si>
  <si>
    <t>poules</t>
  </si>
  <si>
    <t>REPARTITION des PRIX CONCOURS par POULES  AU CUMUL 65 à 512 équipes</t>
  </si>
  <si>
    <t xml:space="preserve">à répartir </t>
  </si>
  <si>
    <t>lante</t>
  </si>
  <si>
    <t>Conso-</t>
  </si>
  <si>
    <t>1er de poule</t>
  </si>
  <si>
    <t>Nbre de  POULES    TOTAL</t>
  </si>
  <si>
    <t>Nbre de  POULES    DE 4</t>
  </si>
  <si>
    <t>Nbre de POULES    DE 3</t>
  </si>
  <si>
    <t>PERDANTS DES POULES</t>
  </si>
  <si>
    <t>REPARTITION des PRIX CONCOURS par POULES  AU CUMUL 17 à 64 équipes</t>
  </si>
  <si>
    <t>FEUILLE DE CALCUL (NE PAS IMPRIMER)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</si>
</sst>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0" borderId="2" applyNumberFormat="0" applyFill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" fillId="29" borderId="3" applyNumberFormat="0" applyFont="0" applyAlignment="0" applyProtection="0"/>
    <xf numFmtId="9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25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</cellStyleXfs>
  <cellXfs count="133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50" applyFont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166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66" fontId="7" fillId="0" borderId="11" xfId="0" applyNumberFormat="1" applyFont="1" applyBorder="1" applyAlignment="1">
      <alignment horizontal="center" vertical="center"/>
    </xf>
    <xf numFmtId="166" fontId="7" fillId="0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166" fontId="6" fillId="0" borderId="12" xfId="0" applyNumberFormat="1" applyFont="1" applyBorder="1" applyAlignment="1">
      <alignment horizontal="center" vertical="center"/>
    </xf>
    <xf numFmtId="1" fontId="7" fillId="32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2" fontId="7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/>
      <protection locked="0"/>
    </xf>
    <xf numFmtId="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32" borderId="0" xfId="0" applyFill="1" applyBorder="1" applyAlignment="1">
      <alignment/>
    </xf>
    <xf numFmtId="0" fontId="7" fillId="0" borderId="12" xfId="0" applyFont="1" applyBorder="1" applyAlignment="1">
      <alignment horizontal="center" shrinkToFit="1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1" fontId="7" fillId="33" borderId="10" xfId="0" applyNumberFormat="1" applyFont="1" applyFill="1" applyBorder="1" applyAlignment="1" applyProtection="1">
      <alignment horizontal="center" vertical="center"/>
      <protection locked="0"/>
    </xf>
    <xf numFmtId="2" fontId="7" fillId="33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 shrinkToFit="1"/>
    </xf>
    <xf numFmtId="0" fontId="7" fillId="0" borderId="0" xfId="0" applyFont="1" applyBorder="1" applyAlignment="1">
      <alignment horizontal="center" shrinkToFit="1"/>
    </xf>
    <xf numFmtId="0" fontId="12" fillId="0" borderId="0" xfId="0" applyFont="1" applyBorder="1" applyAlignment="1">
      <alignment horizontal="center"/>
    </xf>
    <xf numFmtId="166" fontId="6" fillId="0" borderId="15" xfId="0" applyNumberFormat="1" applyFont="1" applyBorder="1" applyAlignment="1">
      <alignment horizontal="center" vertical="center"/>
    </xf>
    <xf numFmtId="9" fontId="6" fillId="0" borderId="11" xfId="0" applyNumberFormat="1" applyFont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/>
    </xf>
    <xf numFmtId="0" fontId="7" fillId="0" borderId="0" xfId="50" applyFont="1" applyAlignment="1">
      <alignment horizontal="center" vertical="center"/>
      <protection/>
    </xf>
    <xf numFmtId="0" fontId="6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2" fontId="6" fillId="0" borderId="12" xfId="0" applyNumberFormat="1" applyFont="1" applyBorder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2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 shrinkToFit="1"/>
    </xf>
    <xf numFmtId="49" fontId="11" fillId="0" borderId="0" xfId="0" applyNumberFormat="1" applyFont="1" applyBorder="1" applyAlignment="1">
      <alignment/>
    </xf>
    <xf numFmtId="49" fontId="7" fillId="0" borderId="13" xfId="0" applyNumberFormat="1" applyFont="1" applyBorder="1" applyAlignment="1">
      <alignment horizontal="center" vertical="center" shrinkToFit="1"/>
    </xf>
    <xf numFmtId="166" fontId="6" fillId="0" borderId="18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7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6" fontId="6" fillId="0" borderId="20" xfId="0" applyNumberFormat="1" applyFont="1" applyBorder="1" applyAlignment="1">
      <alignment horizontal="center" vertical="center"/>
    </xf>
    <xf numFmtId="166" fontId="6" fillId="0" borderId="21" xfId="0" applyNumberFormat="1" applyFont="1" applyBorder="1" applyAlignment="1">
      <alignment horizontal="center" vertical="center"/>
    </xf>
    <xf numFmtId="166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3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109"/>
  <sheetViews>
    <sheetView zoomScalePageLayoutView="0" workbookViewId="0" topLeftCell="A1">
      <selection activeCell="D21" sqref="D21"/>
    </sheetView>
  </sheetViews>
  <sheetFormatPr defaultColWidth="11.421875" defaultRowHeight="15"/>
  <cols>
    <col min="1" max="1" width="7.421875" style="0" customWidth="1"/>
    <col min="2" max="2" width="13.28125" style="0" customWidth="1"/>
    <col min="3" max="3" width="12.00390625" style="0" customWidth="1"/>
    <col min="4" max="4" width="10.00390625" style="0" customWidth="1"/>
    <col min="5" max="5" width="9.57421875" style="0" customWidth="1"/>
    <col min="6" max="6" width="7.8515625" style="0" customWidth="1"/>
    <col min="7" max="7" width="9.7109375" style="0" customWidth="1"/>
    <col min="8" max="8" width="8.140625" style="0" customWidth="1"/>
    <col min="9" max="9" width="8.8515625" style="0" customWidth="1"/>
    <col min="10" max="11" width="7.7109375" style="0" customWidth="1"/>
    <col min="12" max="12" width="7.00390625" style="0" customWidth="1"/>
    <col min="13" max="13" width="7.57421875" style="0" customWidth="1"/>
    <col min="14" max="14" width="9.140625" style="0" customWidth="1"/>
    <col min="15" max="18" width="10.00390625" style="0" customWidth="1"/>
  </cols>
  <sheetData>
    <row r="1" ht="15" customHeight="1"/>
    <row r="2" ht="11.25" customHeight="1"/>
    <row r="3" spans="1:19" ht="11.25" customHeight="1">
      <c r="A3" s="1"/>
      <c r="B3" s="112" t="s">
        <v>76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5"/>
      <c r="O3" s="5"/>
      <c r="P3" t="s">
        <v>77</v>
      </c>
      <c r="S3" s="45"/>
    </row>
    <row r="4" spans="1:20" ht="11.25" customHeight="1" thickBot="1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70"/>
      <c r="S4" s="71"/>
      <c r="T4" s="71"/>
    </row>
    <row r="5" spans="1:20" ht="11.25" customHeight="1">
      <c r="A5" s="1"/>
      <c r="B5" s="54" t="s">
        <v>10</v>
      </c>
      <c r="C5" s="54" t="s">
        <v>11</v>
      </c>
      <c r="D5" s="54" t="s">
        <v>12</v>
      </c>
      <c r="E5" s="54" t="s">
        <v>13</v>
      </c>
      <c r="F5" s="54" t="s">
        <v>12</v>
      </c>
      <c r="G5" s="54" t="s">
        <v>12</v>
      </c>
      <c r="H5" s="54" t="s">
        <v>64</v>
      </c>
      <c r="I5" s="54" t="s">
        <v>19</v>
      </c>
      <c r="J5" s="54" t="s">
        <v>70</v>
      </c>
      <c r="K5" s="113" t="s">
        <v>72</v>
      </c>
      <c r="L5" s="113" t="s">
        <v>73</v>
      </c>
      <c r="M5" s="113" t="s">
        <v>74</v>
      </c>
      <c r="N5" s="75"/>
      <c r="O5" s="4"/>
      <c r="S5" s="27"/>
      <c r="T5" s="27"/>
    </row>
    <row r="6" spans="1:20" ht="11.25" customHeight="1">
      <c r="A6" s="1"/>
      <c r="B6" s="55" t="s">
        <v>14</v>
      </c>
      <c r="C6" s="55" t="s">
        <v>15</v>
      </c>
      <c r="D6" s="55" t="s">
        <v>16</v>
      </c>
      <c r="E6" s="55" t="s">
        <v>17</v>
      </c>
      <c r="F6" s="55" t="s">
        <v>18</v>
      </c>
      <c r="G6" s="55" t="s">
        <v>68</v>
      </c>
      <c r="H6" s="55" t="s">
        <v>65</v>
      </c>
      <c r="I6" s="103"/>
      <c r="J6" s="55" t="s">
        <v>69</v>
      </c>
      <c r="K6" s="114"/>
      <c r="L6" s="114"/>
      <c r="M6" s="114"/>
      <c r="N6" s="75"/>
      <c r="O6" s="4"/>
      <c r="S6" s="27"/>
      <c r="T6" s="27"/>
    </row>
    <row r="7" spans="1:20" ht="11.25" customHeight="1">
      <c r="A7" s="1"/>
      <c r="B7" s="55"/>
      <c r="C7" s="55"/>
      <c r="D7" s="55"/>
      <c r="E7" s="55"/>
      <c r="F7" s="55"/>
      <c r="G7" s="55" t="s">
        <v>0</v>
      </c>
      <c r="H7" s="88" t="s">
        <v>66</v>
      </c>
      <c r="I7" s="55"/>
      <c r="J7" s="56" t="s">
        <v>0</v>
      </c>
      <c r="K7" s="114"/>
      <c r="L7" s="114"/>
      <c r="M7" s="114"/>
      <c r="N7" s="75"/>
      <c r="O7" s="4" t="s">
        <v>0</v>
      </c>
      <c r="S7" s="27"/>
      <c r="T7" s="71"/>
    </row>
    <row r="8" spans="1:20" ht="11.25" customHeight="1" thickBot="1">
      <c r="A8" s="1"/>
      <c r="B8" s="57"/>
      <c r="C8" s="57" t="s">
        <v>20</v>
      </c>
      <c r="D8" s="57" t="s">
        <v>20</v>
      </c>
      <c r="E8" s="57"/>
      <c r="F8" s="57" t="s">
        <v>20</v>
      </c>
      <c r="G8" s="57" t="s">
        <v>20</v>
      </c>
      <c r="H8" s="86" t="s">
        <v>0</v>
      </c>
      <c r="I8" s="86"/>
      <c r="J8" s="58" t="s">
        <v>0</v>
      </c>
      <c r="K8" s="115"/>
      <c r="L8" s="115"/>
      <c r="M8" s="115"/>
      <c r="N8" s="75"/>
      <c r="O8" s="4"/>
      <c r="S8" s="29"/>
      <c r="T8" s="27"/>
    </row>
    <row r="9" spans="1:20" ht="11.25" customHeight="1" thickBot="1">
      <c r="A9" s="1"/>
      <c r="B9" s="59">
        <v>110</v>
      </c>
      <c r="C9" s="60">
        <v>10</v>
      </c>
      <c r="D9" s="61">
        <f>(B9*C9)</f>
        <v>1100</v>
      </c>
      <c r="E9" s="59">
        <v>30</v>
      </c>
      <c r="F9" s="61">
        <f>D9*E9/100</f>
        <v>330</v>
      </c>
      <c r="G9" s="61">
        <f>D9+F9</f>
        <v>1430</v>
      </c>
      <c r="H9" s="61">
        <f>D20*K20</f>
        <v>532</v>
      </c>
      <c r="I9" s="61">
        <f>P18</f>
        <v>637</v>
      </c>
      <c r="J9" s="61">
        <f>E32</f>
        <v>264</v>
      </c>
      <c r="K9" s="62">
        <f>P34</f>
        <v>28</v>
      </c>
      <c r="L9" s="62">
        <f>Q34</f>
        <v>26</v>
      </c>
      <c r="M9" s="62">
        <f>R34</f>
        <v>2</v>
      </c>
      <c r="N9" s="24"/>
      <c r="O9" s="4"/>
      <c r="P9" s="104" t="s">
        <v>1</v>
      </c>
      <c r="Q9" s="105"/>
      <c r="R9" s="106"/>
      <c r="S9" s="40"/>
      <c r="T9" s="27"/>
    </row>
    <row r="10" spans="1:20" ht="11.25" customHeight="1" thickBot="1">
      <c r="A10" s="1"/>
      <c r="B10" s="4" t="s">
        <v>0</v>
      </c>
      <c r="C10" s="20"/>
      <c r="D10" s="39"/>
      <c r="E10" s="39"/>
      <c r="F10" s="20"/>
      <c r="G10" s="23"/>
      <c r="H10" s="23"/>
      <c r="I10" s="23"/>
      <c r="J10" s="23"/>
      <c r="K10" s="23"/>
      <c r="L10" s="23"/>
      <c r="M10" s="24"/>
      <c r="N10" s="24"/>
      <c r="O10" s="5" t="s">
        <v>0</v>
      </c>
      <c r="P10" s="107" t="s">
        <v>58</v>
      </c>
      <c r="Q10" s="108"/>
      <c r="R10" s="67">
        <f>G9-E20</f>
        <v>898</v>
      </c>
      <c r="S10" s="27"/>
      <c r="T10" s="27"/>
    </row>
    <row r="11" spans="1:20" ht="11.25" customHeight="1" thickBot="1">
      <c r="A11" s="1"/>
      <c r="B11" s="109" t="s">
        <v>21</v>
      </c>
      <c r="C11" s="110"/>
      <c r="D11" s="110"/>
      <c r="E11" s="111"/>
      <c r="F11" s="36"/>
      <c r="M11" s="27"/>
      <c r="N11" s="27"/>
      <c r="O11" s="27"/>
      <c r="P11" s="68" t="s">
        <v>19</v>
      </c>
      <c r="Q11" s="68" t="s">
        <v>59</v>
      </c>
      <c r="R11" s="89" t="s">
        <v>60</v>
      </c>
      <c r="S11" s="4"/>
      <c r="T11" s="4"/>
    </row>
    <row r="12" spans="1:20" ht="11.25" customHeight="1" thickBot="1">
      <c r="A12" s="1"/>
      <c r="B12" s="52" t="s">
        <v>22</v>
      </c>
      <c r="C12" s="52" t="s">
        <v>23</v>
      </c>
      <c r="D12" s="64" t="s">
        <v>24</v>
      </c>
      <c r="E12" s="51" t="s">
        <v>24</v>
      </c>
      <c r="F12" s="65"/>
      <c r="G12" s="43"/>
      <c r="H12" s="109" t="s">
        <v>25</v>
      </c>
      <c r="I12" s="116"/>
      <c r="J12" s="116"/>
      <c r="K12" s="117"/>
      <c r="L12" s="30"/>
      <c r="M12" s="27"/>
      <c r="N12" s="27"/>
      <c r="O12" s="29"/>
      <c r="P12" s="8">
        <f>IF(17&gt;B9&gt;40,R10*0.71,R10*0.7)</f>
        <v>637.5799999999999</v>
      </c>
      <c r="Q12" s="73">
        <f>IF(17&gt;B9&gt;40,R10*0.29,R10*0.3)</f>
        <v>260.41999999999996</v>
      </c>
      <c r="R12" s="89">
        <f>E20</f>
        <v>532</v>
      </c>
      <c r="S12" s="4"/>
      <c r="T12" s="4"/>
    </row>
    <row r="13" spans="1:20" ht="11.25" customHeight="1" thickBot="1">
      <c r="A13" s="1"/>
      <c r="B13" s="82" t="s">
        <v>26</v>
      </c>
      <c r="C13" s="82" t="s">
        <v>28</v>
      </c>
      <c r="D13" s="83" t="s">
        <v>27</v>
      </c>
      <c r="E13" s="82" t="s">
        <v>29</v>
      </c>
      <c r="F13" s="21"/>
      <c r="G13" s="44"/>
      <c r="H13" s="118" t="s">
        <v>30</v>
      </c>
      <c r="I13" s="119"/>
      <c r="J13" s="78" t="s">
        <v>31</v>
      </c>
      <c r="K13" s="78" t="s">
        <v>32</v>
      </c>
      <c r="L13" s="27"/>
      <c r="M13" s="27"/>
      <c r="N13" s="27"/>
      <c r="O13" s="29"/>
      <c r="P13" s="6"/>
      <c r="Q13" s="8">
        <f>Q12+P26</f>
        <v>260.9999999999999</v>
      </c>
      <c r="R13" s="69" t="s">
        <v>0</v>
      </c>
      <c r="S13" s="4"/>
      <c r="T13" s="4"/>
    </row>
    <row r="14" spans="1:20" ht="11.25" customHeight="1" thickBot="1">
      <c r="A14" s="1"/>
      <c r="B14" s="82"/>
      <c r="C14" s="82" t="s">
        <v>34</v>
      </c>
      <c r="D14" s="83" t="s">
        <v>33</v>
      </c>
      <c r="E14" s="82" t="s">
        <v>35</v>
      </c>
      <c r="F14" s="21"/>
      <c r="G14" s="15"/>
      <c r="H14" s="120" t="s">
        <v>36</v>
      </c>
      <c r="I14" s="121"/>
      <c r="J14" s="79"/>
      <c r="K14" s="79" t="s">
        <v>37</v>
      </c>
      <c r="L14" s="41"/>
      <c r="M14" s="41"/>
      <c r="N14" s="41"/>
      <c r="O14" s="41"/>
      <c r="P14" s="8">
        <f>P12/C21</f>
        <v>13.011836734693876</v>
      </c>
      <c r="Q14" s="8">
        <f>Q12/C32</f>
        <v>10.850833333333332</v>
      </c>
      <c r="R14" s="8" t="s">
        <v>0</v>
      </c>
      <c r="S14" s="4"/>
      <c r="T14" s="4"/>
    </row>
    <row r="15" spans="1:20" ht="11.25" customHeight="1" thickBot="1">
      <c r="A15" s="1"/>
      <c r="B15" s="63" t="s">
        <v>38</v>
      </c>
      <c r="C15" s="94">
        <f>I15</f>
        <v>1</v>
      </c>
      <c r="D15" s="96">
        <f>P24</f>
        <v>13</v>
      </c>
      <c r="E15" s="96">
        <f aca="true" t="shared" si="0" ref="E15:E20">C15*D15</f>
        <v>13</v>
      </c>
      <c r="F15" s="21"/>
      <c r="G15" s="76" t="s">
        <v>38</v>
      </c>
      <c r="H15" s="84">
        <v>1</v>
      </c>
      <c r="I15" s="84">
        <v>1</v>
      </c>
      <c r="J15" s="84">
        <v>0</v>
      </c>
      <c r="K15" s="92">
        <v>0</v>
      </c>
      <c r="L15" s="42"/>
      <c r="M15" s="35"/>
      <c r="N15" s="35"/>
      <c r="O15" s="35">
        <f>IF((P20-P22)&gt;0.75,P22+1,IF((P20-P22)&gt;0.25,P22+0.5,P22))</f>
        <v>13</v>
      </c>
      <c r="P15" s="8">
        <f>IF(R20&lt;-2.5,S15-2,IF(R20&lt;-1,S15-1,IF(R20&lt;0,S15,IF(P22=Q22,O15,IF(S15&gt;O15,S15,O15)))))</f>
        <v>13</v>
      </c>
      <c r="Q15" s="8">
        <f>IF(R20&lt;0,O15,IF(P22&gt;=Q22,S15,O15))</f>
        <v>11</v>
      </c>
      <c r="R15" s="8" t="s">
        <v>0</v>
      </c>
      <c r="S15" s="4">
        <f>IF((Q20-Q22)&gt;0.75,Q22+1,IF((Q20-Q22)&gt;0.25,Q22+0.5,Q22))</f>
        <v>11</v>
      </c>
      <c r="T15" s="4"/>
    </row>
    <row r="16" spans="1:20" ht="11.25" customHeight="1" thickBot="1">
      <c r="A16" s="1"/>
      <c r="B16" s="63" t="s">
        <v>39</v>
      </c>
      <c r="C16" s="94">
        <f>I16</f>
        <v>2</v>
      </c>
      <c r="D16" s="96">
        <f>IF(C16=0,0,P24)</f>
        <v>13</v>
      </c>
      <c r="E16" s="96">
        <f t="shared" si="0"/>
        <v>26</v>
      </c>
      <c r="F16" s="21"/>
      <c r="G16" s="76" t="s">
        <v>39</v>
      </c>
      <c r="H16" s="84">
        <f>IF(H18&gt;0,K17-2,ROUNDDOWN(K17/2,0))</f>
        <v>2</v>
      </c>
      <c r="I16" s="84">
        <f>IF(H18&gt;0,K17-2,ROUNDDOWN(K17/2,0))</f>
        <v>2</v>
      </c>
      <c r="J16" s="90">
        <f>K17-H16-I16</f>
        <v>0</v>
      </c>
      <c r="K16" s="91">
        <f>I16+J16</f>
        <v>2</v>
      </c>
      <c r="L16" s="28"/>
      <c r="M16" s="28"/>
      <c r="N16" s="28"/>
      <c r="O16" s="28"/>
      <c r="P16" s="7"/>
      <c r="Q16" s="7"/>
      <c r="R16" s="9"/>
      <c r="S16" s="4"/>
      <c r="T16" s="4"/>
    </row>
    <row r="17" spans="1:20" ht="11.25" customHeight="1" thickBot="1">
      <c r="A17" s="1"/>
      <c r="B17" s="63" t="s">
        <v>42</v>
      </c>
      <c r="C17" s="94">
        <f>I17</f>
        <v>10</v>
      </c>
      <c r="D17" s="96">
        <f>IF(C17=0,0,P24)</f>
        <v>13</v>
      </c>
      <c r="E17" s="96">
        <f>C17*D17</f>
        <v>130</v>
      </c>
      <c r="F17" s="21"/>
      <c r="G17" s="77" t="s">
        <v>49</v>
      </c>
      <c r="H17" s="84">
        <f>IF(B9&lt;=8,0,IF(H19&gt;0,K18-4,ROUNDDOWN(K18/2,0)))</f>
        <v>10</v>
      </c>
      <c r="I17" s="84">
        <f>IF(B9&lt;=8,0,IF(H19&gt;0,K18-4,ROUNDDOWN(K18/2,0)))</f>
        <v>10</v>
      </c>
      <c r="J17" s="90">
        <f>K18-H17-I17</f>
        <v>-6</v>
      </c>
      <c r="K17" s="91">
        <f>I17+J17</f>
        <v>4</v>
      </c>
      <c r="L17" s="29"/>
      <c r="M17" s="35"/>
      <c r="N17" s="35"/>
      <c r="O17" s="35"/>
      <c r="P17" s="10" t="s">
        <v>2</v>
      </c>
      <c r="Q17" s="10" t="s">
        <v>2</v>
      </c>
      <c r="R17" s="10" t="s">
        <v>0</v>
      </c>
      <c r="S17" s="4"/>
      <c r="T17" s="4"/>
    </row>
    <row r="18" spans="1:20" ht="11.25" customHeight="1" thickBot="1">
      <c r="A18" s="1"/>
      <c r="B18" s="63" t="s">
        <v>43</v>
      </c>
      <c r="C18" s="94">
        <v>8</v>
      </c>
      <c r="D18" s="96">
        <f>IF(C18=0,0,P24)</f>
        <v>13</v>
      </c>
      <c r="E18" s="96">
        <f>C18*D18</f>
        <v>104</v>
      </c>
      <c r="F18" s="21"/>
      <c r="G18" s="77" t="s">
        <v>50</v>
      </c>
      <c r="H18" s="84">
        <f>IF(K19&lt;=8,0,ROUNDDOWN(K19/2,0))</f>
        <v>14</v>
      </c>
      <c r="I18" s="84">
        <f>IF(K19&lt;=8,0,ROUNDDOWN(K19/2,0))</f>
        <v>14</v>
      </c>
      <c r="J18" s="90">
        <f>K19-H18-I18</f>
        <v>0</v>
      </c>
      <c r="K18" s="91">
        <f>I18+J18</f>
        <v>14</v>
      </c>
      <c r="L18" s="27"/>
      <c r="M18" s="27"/>
      <c r="N18" s="27"/>
      <c r="O18" s="27"/>
      <c r="P18" s="11">
        <f>E21</f>
        <v>637</v>
      </c>
      <c r="Q18" s="12">
        <f>E32</f>
        <v>264</v>
      </c>
      <c r="R18" s="12" t="s">
        <v>0</v>
      </c>
      <c r="S18" s="4"/>
      <c r="T18" s="4"/>
    </row>
    <row r="19" spans="1:20" ht="11.25" customHeight="1" thickBot="1">
      <c r="A19" s="1"/>
      <c r="B19" s="63" t="s">
        <v>44</v>
      </c>
      <c r="C19" s="94">
        <f>I19</f>
        <v>28</v>
      </c>
      <c r="D19" s="96">
        <f>IF(C19=0,0,P24)</f>
        <v>13</v>
      </c>
      <c r="E19" s="96">
        <f>C19*D19</f>
        <v>364</v>
      </c>
      <c r="F19" s="66"/>
      <c r="G19" s="77" t="s">
        <v>51</v>
      </c>
      <c r="H19" s="84">
        <f>IF(K20&lt;=16,0,ROUNDDOWN(K20/2,0))</f>
        <v>28</v>
      </c>
      <c r="I19" s="84">
        <f>IF(K20&lt;=16,0,ROUNDDOWN(K20/2,0))</f>
        <v>28</v>
      </c>
      <c r="J19" s="90">
        <f>K20-H19-I19</f>
        <v>0</v>
      </c>
      <c r="K19" s="91">
        <f>I19+J19</f>
        <v>28</v>
      </c>
      <c r="L19" s="29"/>
      <c r="M19" s="35"/>
      <c r="N19" s="35"/>
      <c r="O19" s="35"/>
      <c r="P19" s="13" t="s">
        <v>3</v>
      </c>
      <c r="Q19" s="13" t="s">
        <v>3</v>
      </c>
      <c r="R19" s="13" t="s">
        <v>0</v>
      </c>
      <c r="S19" s="4"/>
      <c r="T19" s="4"/>
    </row>
    <row r="20" spans="1:20" ht="11.25" customHeight="1" thickBot="1">
      <c r="A20" s="1"/>
      <c r="B20" s="63" t="s">
        <v>71</v>
      </c>
      <c r="C20" s="94">
        <f>K20</f>
        <v>56</v>
      </c>
      <c r="D20" s="96">
        <f>IF(B9&lt;17,C9-1.5,IF(B9&lt;41,C9-1,C9-0.5))</f>
        <v>9.5</v>
      </c>
      <c r="E20" s="102">
        <f t="shared" si="0"/>
        <v>532</v>
      </c>
      <c r="F20" s="21"/>
      <c r="H20" s="122" t="s">
        <v>48</v>
      </c>
      <c r="I20" s="123"/>
      <c r="J20" s="124"/>
      <c r="K20" s="10">
        <f>K9*2</f>
        <v>56</v>
      </c>
      <c r="L20" s="27"/>
      <c r="M20" s="27"/>
      <c r="N20" s="27"/>
      <c r="O20" s="27"/>
      <c r="P20" s="9">
        <f>P14</f>
        <v>13.011836734693876</v>
      </c>
      <c r="Q20" s="12">
        <f>Q14</f>
        <v>10.850833333333332</v>
      </c>
      <c r="R20" s="12">
        <f>P20-Q20</f>
        <v>2.161003401360544</v>
      </c>
      <c r="S20" s="4"/>
      <c r="T20" s="4"/>
    </row>
    <row r="21" spans="1:20" ht="11.25" customHeight="1" thickBot="1">
      <c r="A21" s="1"/>
      <c r="B21" s="63" t="s">
        <v>40</v>
      </c>
      <c r="C21" s="94">
        <f>IF(C18=0,SUM(C15:C17),IF(C19=0,SUM(C15:C18),SUM(C15:C19)))</f>
        <v>49</v>
      </c>
      <c r="D21" s="96">
        <f>SUM(D15:D20)</f>
        <v>74.5</v>
      </c>
      <c r="E21" s="96">
        <f>SUM(E15:E19)</f>
        <v>637</v>
      </c>
      <c r="F21" s="18"/>
      <c r="H21" s="41"/>
      <c r="I21" s="41"/>
      <c r="J21" s="41"/>
      <c r="K21" s="41"/>
      <c r="L21" s="29"/>
      <c r="M21" s="27"/>
      <c r="N21" s="27"/>
      <c r="O21" s="29"/>
      <c r="P21" s="7" t="s">
        <v>4</v>
      </c>
      <c r="Q21" s="7" t="s">
        <v>4</v>
      </c>
      <c r="R21" s="9">
        <f>P20-P22</f>
        <v>0.011836734693876139</v>
      </c>
      <c r="S21" s="4"/>
      <c r="T21" s="4"/>
    </row>
    <row r="22" spans="1:20" ht="11.25" customHeight="1" thickBot="1">
      <c r="A22" s="1"/>
      <c r="B22" s="16"/>
      <c r="C22" s="16"/>
      <c r="D22" s="16"/>
      <c r="E22" s="16"/>
      <c r="F22" s="36"/>
      <c r="H22" s="41"/>
      <c r="I22" s="41"/>
      <c r="J22" s="41"/>
      <c r="K22" s="41"/>
      <c r="L22" s="27"/>
      <c r="M22" s="27"/>
      <c r="N22" s="27"/>
      <c r="O22" s="27"/>
      <c r="P22" s="9">
        <f>ROUNDDOWN(P20,0)</f>
        <v>13</v>
      </c>
      <c r="Q22" s="12">
        <f>ROUNDDOWN(Q20,0)</f>
        <v>10</v>
      </c>
      <c r="R22" s="12">
        <f>Q20-Q22</f>
        <v>0.8508333333333322</v>
      </c>
      <c r="S22" s="4"/>
      <c r="T22" s="4"/>
    </row>
    <row r="23" spans="1:20" ht="11.25" customHeight="1" thickBot="1">
      <c r="A23" s="1"/>
      <c r="B23" s="109" t="s">
        <v>41</v>
      </c>
      <c r="C23" s="110"/>
      <c r="D23" s="110"/>
      <c r="E23" s="111"/>
      <c r="F23" s="36"/>
      <c r="H23" s="80"/>
      <c r="I23" s="80"/>
      <c r="J23" s="80"/>
      <c r="K23" s="80"/>
      <c r="L23" s="42"/>
      <c r="M23" s="35"/>
      <c r="N23" s="35"/>
      <c r="O23" s="35"/>
      <c r="P23" s="7" t="s">
        <v>5</v>
      </c>
      <c r="Q23" s="7" t="s">
        <v>6</v>
      </c>
      <c r="R23" s="7" t="s">
        <v>0</v>
      </c>
      <c r="S23" s="4"/>
      <c r="T23" s="4"/>
    </row>
    <row r="24" spans="1:20" ht="11.25" customHeight="1" thickBot="1">
      <c r="A24" s="1"/>
      <c r="B24" s="52" t="s">
        <v>22</v>
      </c>
      <c r="C24" s="52" t="s">
        <v>23</v>
      </c>
      <c r="D24" s="64" t="s">
        <v>24</v>
      </c>
      <c r="E24" s="51" t="s">
        <v>24</v>
      </c>
      <c r="F24" s="65"/>
      <c r="G24" s="43"/>
      <c r="H24" s="109" t="s">
        <v>25</v>
      </c>
      <c r="I24" s="116"/>
      <c r="J24" s="116"/>
      <c r="K24" s="117"/>
      <c r="L24" s="29"/>
      <c r="M24" s="29"/>
      <c r="N24" s="29"/>
      <c r="O24" s="29"/>
      <c r="P24" s="9">
        <f>P15</f>
        <v>13</v>
      </c>
      <c r="Q24" s="9">
        <f>Q15</f>
        <v>11</v>
      </c>
      <c r="R24" s="9" t="s">
        <v>0</v>
      </c>
      <c r="S24" s="4"/>
      <c r="T24" s="4"/>
    </row>
    <row r="25" spans="1:20" ht="11.25" customHeight="1" thickBot="1">
      <c r="A25" s="1"/>
      <c r="B25" s="82" t="s">
        <v>26</v>
      </c>
      <c r="C25" s="82" t="s">
        <v>28</v>
      </c>
      <c r="D25" s="83" t="s">
        <v>27</v>
      </c>
      <c r="E25" s="82" t="s">
        <v>29</v>
      </c>
      <c r="F25" s="21"/>
      <c r="G25" s="44"/>
      <c r="H25" s="118" t="s">
        <v>30</v>
      </c>
      <c r="I25" s="119"/>
      <c r="J25" s="78" t="s">
        <v>31</v>
      </c>
      <c r="K25" s="78" t="s">
        <v>32</v>
      </c>
      <c r="L25" s="47"/>
      <c r="M25" s="29"/>
      <c r="N25" s="29"/>
      <c r="O25" s="29"/>
      <c r="P25" s="7" t="s">
        <v>7</v>
      </c>
      <c r="Q25" s="7" t="s">
        <v>8</v>
      </c>
      <c r="R25" s="7" t="s">
        <v>0</v>
      </c>
      <c r="S25" s="4"/>
      <c r="T25" s="4"/>
    </row>
    <row r="26" spans="1:20" ht="11.25" customHeight="1" thickBot="1">
      <c r="A26" s="1"/>
      <c r="B26" s="53"/>
      <c r="C26" s="53" t="s">
        <v>34</v>
      </c>
      <c r="D26" s="81" t="s">
        <v>33</v>
      </c>
      <c r="E26" s="53" t="s">
        <v>35</v>
      </c>
      <c r="F26" s="21"/>
      <c r="G26" s="15"/>
      <c r="H26" s="120" t="s">
        <v>36</v>
      </c>
      <c r="I26" s="121"/>
      <c r="J26" s="79"/>
      <c r="K26" s="79" t="s">
        <v>37</v>
      </c>
      <c r="L26" s="27"/>
      <c r="M26" s="27"/>
      <c r="N26" s="27"/>
      <c r="O26" s="27"/>
      <c r="P26" s="11">
        <f>P12-P18</f>
        <v>0.5799999999999272</v>
      </c>
      <c r="Q26" s="12">
        <f>Q12-E32</f>
        <v>-3.580000000000041</v>
      </c>
      <c r="R26" s="12" t="s">
        <v>0</v>
      </c>
      <c r="S26" s="4"/>
      <c r="T26" s="4"/>
    </row>
    <row r="27" spans="1:20" ht="11.25" customHeight="1" thickBot="1">
      <c r="A27" s="1"/>
      <c r="B27" s="63" t="s">
        <v>38</v>
      </c>
      <c r="C27" s="94">
        <f>I27</f>
        <v>1</v>
      </c>
      <c r="D27" s="96">
        <f>Q24</f>
        <v>11</v>
      </c>
      <c r="E27" s="96">
        <f>C27*D27</f>
        <v>11</v>
      </c>
      <c r="F27" s="21"/>
      <c r="G27" s="76" t="s">
        <v>38</v>
      </c>
      <c r="H27" s="98">
        <v>1</v>
      </c>
      <c r="I27" s="84">
        <v>1</v>
      </c>
      <c r="J27" s="84">
        <v>0</v>
      </c>
      <c r="K27" s="92">
        <v>0</v>
      </c>
      <c r="L27" s="46"/>
      <c r="M27" s="29"/>
      <c r="N27" s="29"/>
      <c r="O27" s="27"/>
      <c r="P27" s="126" t="s">
        <v>61</v>
      </c>
      <c r="Q27" s="127"/>
      <c r="R27" s="128"/>
      <c r="S27" s="4"/>
      <c r="T27" s="4"/>
    </row>
    <row r="28" spans="1:20" ht="11.25" customHeight="1" thickBot="1">
      <c r="A28" s="1"/>
      <c r="B28" s="63" t="s">
        <v>39</v>
      </c>
      <c r="C28" s="94">
        <f>I28</f>
        <v>3</v>
      </c>
      <c r="D28" s="96">
        <f>IF(C29=0,0,IF(C28=0,0,Q24))</f>
        <v>11</v>
      </c>
      <c r="E28" s="96">
        <f>C28*D28</f>
        <v>33</v>
      </c>
      <c r="F28" s="21"/>
      <c r="G28" s="76" t="s">
        <v>39</v>
      </c>
      <c r="H28" s="84">
        <f>ROUNDDOWN(K29/2,0)</f>
        <v>3</v>
      </c>
      <c r="I28" s="84">
        <f>ROUNDDOWN(K29/2,0)</f>
        <v>3</v>
      </c>
      <c r="J28" s="90">
        <f>K29-H28-I28</f>
        <v>1</v>
      </c>
      <c r="K28" s="91">
        <f>I28+J28</f>
        <v>4</v>
      </c>
      <c r="L28" s="46"/>
      <c r="M28" s="27"/>
      <c r="N28" s="27"/>
      <c r="O28" s="27"/>
      <c r="P28" s="4"/>
      <c r="Q28" s="19">
        <f>SUM(P26:R26)</f>
        <v>-3.0000000000001137</v>
      </c>
      <c r="R28" s="74" t="s">
        <v>0</v>
      </c>
      <c r="S28" s="4"/>
      <c r="T28" s="4"/>
    </row>
    <row r="29" spans="1:20" ht="11.25" customHeight="1" thickBot="1">
      <c r="A29" s="1"/>
      <c r="B29" s="63" t="s">
        <v>42</v>
      </c>
      <c r="C29" s="94">
        <f>I29</f>
        <v>7</v>
      </c>
      <c r="D29" s="96">
        <f>IF(C30=0,0,IF(C29=0,0,Q24))</f>
        <v>11</v>
      </c>
      <c r="E29" s="96">
        <f>C29*D29</f>
        <v>77</v>
      </c>
      <c r="F29" s="21"/>
      <c r="G29" s="77" t="s">
        <v>49</v>
      </c>
      <c r="H29" s="84">
        <f>IF(K30&lt;4,0,IF(K30&lt;8,K30-4,ROUNDDOWN(K30/2,0)))</f>
        <v>7</v>
      </c>
      <c r="I29" s="90">
        <f>IF(K30&lt;4,0,IF(K30&lt;8,K30-4,IF(K30&lt;4,0,ROUNDDOWN(K30/2,0))))</f>
        <v>7</v>
      </c>
      <c r="J29" s="90">
        <f>K30-H29-I29</f>
        <v>0</v>
      </c>
      <c r="K29" s="91">
        <f>I29+J29</f>
        <v>7</v>
      </c>
      <c r="L29" s="46"/>
      <c r="M29" s="27"/>
      <c r="N29" s="27"/>
      <c r="O29" s="27"/>
      <c r="P29" s="107" t="s">
        <v>9</v>
      </c>
      <c r="Q29" s="108"/>
      <c r="R29" s="129"/>
      <c r="S29" s="4"/>
      <c r="T29" s="4"/>
    </row>
    <row r="30" spans="1:20" ht="11.25" customHeight="1" thickBot="1">
      <c r="A30" s="1"/>
      <c r="B30" s="63" t="s">
        <v>43</v>
      </c>
      <c r="C30" s="94">
        <f>I30</f>
        <v>13</v>
      </c>
      <c r="D30" s="96">
        <f>IF(C31=0,0,IF(C30=0,0,Q24))</f>
        <v>11</v>
      </c>
      <c r="E30" s="96">
        <f>IF(C31=0,0,C30*D30)</f>
        <v>143</v>
      </c>
      <c r="F30" s="21"/>
      <c r="G30" s="77" t="s">
        <v>50</v>
      </c>
      <c r="H30" s="84">
        <f>IF(K31&lt;=8,0,ROUNDDOWN(K31/2,0))</f>
        <v>13</v>
      </c>
      <c r="I30" s="84">
        <f>IF(K31&lt;=8,0,ROUNDDOWN(K31/2,0))</f>
        <v>13</v>
      </c>
      <c r="J30" s="90">
        <f>K31-H30-I30</f>
        <v>1</v>
      </c>
      <c r="K30" s="99">
        <f>I30+J30</f>
        <v>14</v>
      </c>
      <c r="L30" s="45"/>
      <c r="M30" s="4"/>
      <c r="N30" s="4"/>
      <c r="O30" s="4"/>
      <c r="P30" s="27"/>
      <c r="Q30" s="9">
        <f>P18+Q18+R12</f>
        <v>1433</v>
      </c>
      <c r="R30" s="4"/>
      <c r="S30" s="93"/>
      <c r="T30" s="4"/>
    </row>
    <row r="31" spans="1:20" ht="11.25" customHeight="1" thickBot="1">
      <c r="A31" s="1"/>
      <c r="B31" s="63" t="s">
        <v>44</v>
      </c>
      <c r="C31" s="94">
        <f>I31</f>
        <v>27</v>
      </c>
      <c r="D31" s="96">
        <f>0</f>
        <v>0</v>
      </c>
      <c r="E31" s="96">
        <f>C31*D31</f>
        <v>0</v>
      </c>
      <c r="F31" s="66"/>
      <c r="G31" s="77" t="s">
        <v>51</v>
      </c>
      <c r="H31" s="84">
        <f>IF(K32&lt;=16,0,ROUNDDOWN(K32/2,0))</f>
        <v>27</v>
      </c>
      <c r="I31" s="84">
        <f>IF(K32&lt;=16,0,ROUNDDOWN(K32/2,0))</f>
        <v>27</v>
      </c>
      <c r="J31" s="90">
        <f>K32-H31-I31</f>
        <v>0</v>
      </c>
      <c r="K31" s="91">
        <f>I31+J31</f>
        <v>27</v>
      </c>
      <c r="L31" s="45"/>
      <c r="M31" s="4"/>
      <c r="N31" s="4"/>
      <c r="O31" s="77"/>
      <c r="P31" s="27"/>
      <c r="Q31" s="4"/>
      <c r="R31" s="4"/>
      <c r="S31" s="4"/>
      <c r="T31" s="4"/>
    </row>
    <row r="32" spans="1:20" ht="11.25" customHeight="1" thickBot="1">
      <c r="A32" s="1"/>
      <c r="B32" s="63" t="s">
        <v>40</v>
      </c>
      <c r="C32" s="94">
        <f>IF(C29=0,C27,IF(C30=0,SUM(C27:C28),IF(C31=0,SUM(C27:C29),SUM(C27:C30))))</f>
        <v>24</v>
      </c>
      <c r="D32" s="96">
        <f>SUM(D27:D31)</f>
        <v>44</v>
      </c>
      <c r="E32" s="96">
        <f>SUM(E27:E31)</f>
        <v>264</v>
      </c>
      <c r="F32" s="21"/>
      <c r="G32" s="27"/>
      <c r="H32" s="122" t="s">
        <v>75</v>
      </c>
      <c r="I32" s="123"/>
      <c r="J32" s="124"/>
      <c r="K32" s="100">
        <f>B9-K20</f>
        <v>54</v>
      </c>
      <c r="L32" s="45"/>
      <c r="M32" s="4"/>
      <c r="N32" s="4"/>
      <c r="O32" s="4"/>
      <c r="P32" s="130" t="s">
        <v>47</v>
      </c>
      <c r="Q32" s="131"/>
      <c r="R32" s="132"/>
      <c r="S32" s="4"/>
      <c r="T32" s="4"/>
    </row>
    <row r="33" spans="1:20" ht="11.25" customHeight="1" thickBot="1">
      <c r="A33" s="1"/>
      <c r="B33" s="4"/>
      <c r="C33" s="27"/>
      <c r="D33" s="27"/>
      <c r="E33" s="21"/>
      <c r="F33" s="25"/>
      <c r="G33" s="18"/>
      <c r="H33" s="87" t="s">
        <v>0</v>
      </c>
      <c r="I33" s="26"/>
      <c r="J33" s="26"/>
      <c r="K33" s="26"/>
      <c r="L33" s="45"/>
      <c r="M33" s="4"/>
      <c r="N33" s="4"/>
      <c r="O33" s="76"/>
      <c r="P33" s="7" t="s">
        <v>40</v>
      </c>
      <c r="Q33" s="7" t="s">
        <v>45</v>
      </c>
      <c r="R33" s="7" t="s">
        <v>46</v>
      </c>
      <c r="S33" s="4"/>
      <c r="T33" s="4"/>
    </row>
    <row r="34" spans="1:20" ht="11.25" customHeight="1" thickBot="1">
      <c r="A34" s="1"/>
      <c r="B34" s="4"/>
      <c r="C34" s="27"/>
      <c r="D34" s="27"/>
      <c r="E34" s="25"/>
      <c r="F34" s="29"/>
      <c r="G34" s="32"/>
      <c r="H34" s="37"/>
      <c r="I34" s="33"/>
      <c r="J34" s="33"/>
      <c r="K34" s="33"/>
      <c r="L34" s="45"/>
      <c r="M34" s="4"/>
      <c r="N34" s="4"/>
      <c r="O34" s="76"/>
      <c r="P34" s="7">
        <f>ROUNDUP(B9/4,0)</f>
        <v>28</v>
      </c>
      <c r="Q34" s="7">
        <f>P34-R34</f>
        <v>26</v>
      </c>
      <c r="R34" s="7">
        <f>IF((B9/4)-ROUNDDOWN(B9/4,0)=0.25,3,IF((B9/4)-ROUNDDOWN(B9/4,0)=0.5,2,IF((B9/4)-ROUNDDOWN(B9/4,0)=0.75,1,0)))</f>
        <v>2</v>
      </c>
      <c r="S34" s="4"/>
      <c r="T34" s="4"/>
    </row>
    <row r="35" spans="1:20" ht="11.25" customHeight="1">
      <c r="A35" s="1"/>
      <c r="B35" s="4"/>
      <c r="C35" s="26"/>
      <c r="D35" s="27"/>
      <c r="E35" s="29"/>
      <c r="F35" s="31"/>
      <c r="G35" s="18"/>
      <c r="H35" s="48"/>
      <c r="I35" s="26"/>
      <c r="J35" s="26"/>
      <c r="K35" s="33"/>
      <c r="L35" s="14"/>
      <c r="M35" s="4"/>
      <c r="N35" s="4"/>
      <c r="O35" s="77"/>
      <c r="P35" s="27" t="s">
        <v>0</v>
      </c>
      <c r="Q35" s="4"/>
      <c r="R35" s="4"/>
      <c r="S35" s="4"/>
      <c r="T35" s="4"/>
    </row>
    <row r="36" spans="1:20" ht="11.25" customHeight="1">
      <c r="A36" s="1"/>
      <c r="B36" s="4"/>
      <c r="C36" s="32"/>
      <c r="D36" s="38"/>
      <c r="E36" s="31"/>
      <c r="F36" s="26"/>
      <c r="G36" s="27"/>
      <c r="H36" s="27"/>
      <c r="I36" s="27"/>
      <c r="J36" s="27"/>
      <c r="K36" s="27"/>
      <c r="L36" s="45"/>
      <c r="M36" s="4"/>
      <c r="N36" s="4"/>
      <c r="O36" s="77"/>
      <c r="P36" s="27" t="s">
        <v>0</v>
      </c>
      <c r="Q36" s="93"/>
      <c r="R36" s="93"/>
      <c r="S36" s="4"/>
      <c r="T36" s="4"/>
    </row>
    <row r="37" spans="1:20" ht="11.25" customHeight="1">
      <c r="A37" s="1"/>
      <c r="B37" s="4"/>
      <c r="C37" s="25"/>
      <c r="D37" s="26"/>
      <c r="E37" s="26"/>
      <c r="F37" s="29"/>
      <c r="G37" s="27"/>
      <c r="H37" s="27"/>
      <c r="I37" s="27"/>
      <c r="J37" s="27"/>
      <c r="K37" s="27"/>
      <c r="L37" s="27"/>
      <c r="M37" s="4"/>
      <c r="N37" s="4"/>
      <c r="O37" s="77"/>
      <c r="P37" s="4"/>
      <c r="Q37" s="4"/>
      <c r="R37" s="4"/>
      <c r="S37" s="4"/>
      <c r="T37" s="17"/>
    </row>
    <row r="38" spans="1:20" ht="11.25" customHeight="1">
      <c r="A38" s="1"/>
      <c r="B38" s="4"/>
      <c r="C38" s="26"/>
      <c r="D38" s="27"/>
      <c r="E38" s="29"/>
      <c r="F38" s="4"/>
      <c r="G38" s="49"/>
      <c r="H38" s="49"/>
      <c r="I38" s="49"/>
      <c r="J38" s="4"/>
      <c r="K38" s="3"/>
      <c r="L38" s="34"/>
      <c r="M38" s="4"/>
      <c r="N38" s="4"/>
      <c r="O38" s="77"/>
      <c r="P38" s="4"/>
      <c r="Q38" s="4"/>
      <c r="R38" s="4"/>
      <c r="S38" s="4"/>
      <c r="T38" s="17"/>
    </row>
    <row r="39" spans="1:20" ht="11.25" customHeight="1">
      <c r="A39" s="1"/>
      <c r="B39" s="4"/>
      <c r="C39" s="4"/>
      <c r="D39" s="4"/>
      <c r="E39" s="4"/>
      <c r="F39" s="49"/>
      <c r="G39" s="45"/>
      <c r="H39" s="45"/>
      <c r="I39" s="49"/>
      <c r="J39" s="49"/>
      <c r="K39" s="49"/>
      <c r="L39" s="34"/>
      <c r="M39" s="4"/>
      <c r="N39" s="4"/>
      <c r="O39" s="77"/>
      <c r="P39" s="27"/>
      <c r="Q39" s="27"/>
      <c r="R39" s="27"/>
      <c r="S39" s="4"/>
      <c r="T39" s="17"/>
    </row>
    <row r="40" spans="1:20" ht="11.25" customHeight="1">
      <c r="A40" s="1"/>
      <c r="B40" s="49"/>
      <c r="C40" s="49"/>
      <c r="D40" s="49"/>
      <c r="E40" s="49"/>
      <c r="F40" s="45"/>
      <c r="G40" s="45"/>
      <c r="H40" s="45"/>
      <c r="I40" s="45"/>
      <c r="J40" s="45"/>
      <c r="K40" s="45"/>
      <c r="L40" s="27"/>
      <c r="M40" s="4"/>
      <c r="N40" s="4"/>
      <c r="O40" s="4"/>
      <c r="P40" s="26"/>
      <c r="Q40" s="27"/>
      <c r="R40" s="27"/>
      <c r="S40" s="4"/>
      <c r="T40" s="17"/>
    </row>
    <row r="41" spans="1:20" ht="11.25" customHeight="1">
      <c r="A41" s="1"/>
      <c r="B41" s="49"/>
      <c r="C41" s="45"/>
      <c r="D41" s="45"/>
      <c r="E41" s="45"/>
      <c r="F41" s="45"/>
      <c r="G41" s="45"/>
      <c r="H41" s="45"/>
      <c r="I41" s="45"/>
      <c r="J41" s="45"/>
      <c r="K41" s="45"/>
      <c r="L41" s="46"/>
      <c r="M41" s="4"/>
      <c r="N41" s="4"/>
      <c r="O41" s="4"/>
      <c r="P41" s="26"/>
      <c r="Q41" s="27"/>
      <c r="R41" s="27"/>
      <c r="S41" s="4"/>
      <c r="T41" s="17"/>
    </row>
    <row r="42" spans="1:20" ht="11.25" customHeight="1">
      <c r="A42" s="1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9"/>
      <c r="M42" s="72"/>
      <c r="N42" s="72"/>
      <c r="O42" s="4"/>
      <c r="P42" s="26"/>
      <c r="Q42" s="27"/>
      <c r="R42" s="27"/>
      <c r="S42" s="4"/>
      <c r="T42" s="17"/>
    </row>
    <row r="43" spans="1:19" ht="11.2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"/>
      <c r="P43" s="26"/>
      <c r="Q43" s="27"/>
      <c r="R43" s="27"/>
      <c r="S43" s="4"/>
    </row>
    <row r="44" spans="1:19" ht="11.2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22"/>
      <c r="M44" s="49"/>
      <c r="N44" s="49"/>
      <c r="O44" s="45"/>
      <c r="P44" s="26"/>
      <c r="Q44" s="27"/>
      <c r="R44" s="27"/>
      <c r="S44" s="45"/>
    </row>
    <row r="45" spans="1:19" ht="11.2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26"/>
      <c r="Q45" s="27"/>
      <c r="R45" s="27"/>
      <c r="S45" s="45"/>
    </row>
    <row r="46" spans="1:19" ht="11.2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27"/>
      <c r="Q46" s="27"/>
      <c r="R46" s="27"/>
      <c r="S46" s="45"/>
    </row>
    <row r="47" spans="1:19" ht="11.2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125"/>
      <c r="Q47" s="125"/>
      <c r="R47" s="125"/>
      <c r="S47" s="45"/>
    </row>
    <row r="48" spans="1:19" ht="11.25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"/>
      <c r="Q48" s="4"/>
      <c r="R48" s="4"/>
      <c r="S48" s="45"/>
    </row>
    <row r="49" spans="1:19" ht="11.2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"/>
      <c r="Q49" s="4"/>
      <c r="R49" s="4"/>
      <c r="S49" s="45"/>
    </row>
    <row r="50" spans="1:19" ht="11.2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"/>
      <c r="Q50" s="4"/>
      <c r="R50" s="45"/>
      <c r="S50" s="45"/>
    </row>
    <row r="51" spans="1:19" ht="11.2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</row>
    <row r="52" spans="1:19" ht="11.2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</row>
    <row r="53" spans="1:19" ht="11.2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</row>
    <row r="54" spans="1:19" ht="11.2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</row>
    <row r="55" spans="1:19" ht="11.2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</row>
    <row r="56" spans="1:19" ht="11.2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7" spans="1:19" ht="11.2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</row>
    <row r="58" spans="1:19" ht="11.2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</row>
    <row r="59" spans="1:19" ht="11.2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</row>
    <row r="60" spans="1:19" ht="11.2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</row>
    <row r="61" spans="1:19" ht="11.2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</row>
    <row r="62" spans="1:19" ht="11.2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</row>
    <row r="63" spans="1:19" ht="11.2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1:19" ht="11.2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</row>
    <row r="65" spans="1:19" ht="11.25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</row>
    <row r="66" spans="1:19" ht="11.25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</row>
    <row r="67" spans="1:19" ht="11.25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</row>
    <row r="68" spans="1:19" ht="11.25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</row>
    <row r="69" spans="1:19" ht="11.25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</row>
    <row r="70" spans="1:19" ht="11.25" customHeight="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</row>
    <row r="71" spans="1:19" ht="11.25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</row>
    <row r="72" spans="1:19" ht="11.25" customHeight="1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</row>
    <row r="73" spans="1:19" ht="11.25" customHeight="1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</row>
    <row r="74" spans="1:19" ht="11.25" customHeight="1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</row>
    <row r="75" spans="1:19" ht="11.25" customHeight="1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</row>
    <row r="76" spans="1:19" ht="11.25" customHeight="1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</row>
    <row r="77" spans="1:19" ht="11.25" customHeight="1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</row>
    <row r="78" spans="1:19" ht="11.25" customHeight="1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</row>
    <row r="79" spans="1:19" ht="11.25" customHeight="1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</row>
    <row r="80" spans="1:19" ht="11.25" customHeight="1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</row>
    <row r="81" spans="1:19" ht="11.25" customHeight="1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</row>
    <row r="82" spans="1:19" ht="11.25" customHeight="1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</row>
    <row r="83" spans="1:19" ht="11.25" customHeight="1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</row>
    <row r="84" spans="1:19" ht="11.25" customHeight="1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</row>
    <row r="85" spans="1:19" ht="11.25" customHeight="1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</row>
    <row r="86" spans="1:19" ht="11.25" customHeight="1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</row>
    <row r="87" spans="1:19" ht="11.25" customHeight="1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</row>
    <row r="88" spans="1:19" ht="11.25" customHeight="1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</row>
    <row r="89" spans="1:19" ht="11.25" customHeight="1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</row>
    <row r="90" spans="1:19" ht="11.25" customHeight="1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6"/>
      <c r="P90" s="45"/>
      <c r="Q90" s="45"/>
      <c r="R90" s="45"/>
      <c r="S90" s="45"/>
    </row>
    <row r="91" spans="1:19" ht="11.25" customHeight="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50"/>
      <c r="P91" s="45"/>
      <c r="Q91" s="45"/>
      <c r="R91" s="45"/>
      <c r="S91" s="45"/>
    </row>
    <row r="92" spans="1:19" ht="11.25" customHeight="1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</row>
    <row r="93" spans="1:19" ht="11.25" customHeight="1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</row>
    <row r="94" spans="1:19" ht="11.25" customHeight="1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</row>
    <row r="95" spans="1:19" ht="11.25" customHeight="1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</row>
    <row r="96" spans="1:19" ht="11.25" customHeight="1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</row>
    <row r="97" spans="1:19" ht="11.25" customHeight="1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</row>
    <row r="98" spans="1:19" ht="11.25" customHeight="1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</row>
    <row r="99" spans="1:19" ht="11.25" customHeight="1">
      <c r="A99" s="45"/>
      <c r="B99" s="45"/>
      <c r="C99" s="45"/>
      <c r="D99" s="45"/>
      <c r="E99" s="45"/>
      <c r="L99" s="45"/>
      <c r="M99" s="45"/>
      <c r="N99" s="45"/>
      <c r="O99" s="45"/>
      <c r="P99" s="45"/>
      <c r="Q99" s="45"/>
      <c r="R99" s="45"/>
      <c r="S99" s="45"/>
    </row>
    <row r="100" spans="1:19" ht="11.25" customHeight="1">
      <c r="A100" s="45"/>
      <c r="L100" s="45"/>
      <c r="M100" s="45"/>
      <c r="N100" s="45"/>
      <c r="O100" s="45"/>
      <c r="P100" s="45"/>
      <c r="Q100" s="45"/>
      <c r="R100" s="45"/>
      <c r="S100" s="45"/>
    </row>
    <row r="101" spans="1:19" ht="14.25">
      <c r="A101" s="45"/>
      <c r="L101" s="45"/>
      <c r="M101" s="45"/>
      <c r="N101" s="45"/>
      <c r="O101" s="45"/>
      <c r="P101" s="45"/>
      <c r="Q101" s="45"/>
      <c r="R101" s="45"/>
      <c r="S101" s="45"/>
    </row>
    <row r="102" spans="1:19" ht="14.25">
      <c r="A102" s="45"/>
      <c r="L102" s="45"/>
      <c r="M102" s="45"/>
      <c r="N102" s="45"/>
      <c r="O102" s="45"/>
      <c r="P102" s="45"/>
      <c r="Q102" s="45"/>
      <c r="R102" s="45"/>
      <c r="S102" s="45"/>
    </row>
    <row r="103" spans="16:18" ht="14.25">
      <c r="P103" s="45"/>
      <c r="Q103" s="45"/>
      <c r="R103" s="45"/>
    </row>
    <row r="104" spans="16:18" ht="14.25">
      <c r="P104" s="45"/>
      <c r="Q104" s="45"/>
      <c r="R104" s="45"/>
    </row>
    <row r="105" spans="16:18" ht="14.25">
      <c r="P105" s="45"/>
      <c r="Q105" s="45"/>
      <c r="R105" s="45"/>
    </row>
    <row r="106" spans="16:18" ht="14.25">
      <c r="P106" s="45"/>
      <c r="Q106" s="45"/>
      <c r="R106" s="45"/>
    </row>
    <row r="107" spans="16:18" ht="14.25">
      <c r="P107" s="45"/>
      <c r="Q107" s="45"/>
      <c r="R107" s="45"/>
    </row>
    <row r="108" spans="16:18" ht="14.25">
      <c r="P108" s="45"/>
      <c r="Q108" s="45"/>
      <c r="R108" s="45"/>
    </row>
    <row r="109" spans="16:17" ht="14.25">
      <c r="P109" s="45"/>
      <c r="Q109" s="45"/>
    </row>
  </sheetData>
  <sheetProtection pivotTables="0"/>
  <mergeCells count="20">
    <mergeCell ref="H14:I14"/>
    <mergeCell ref="H20:J20"/>
    <mergeCell ref="H32:J32"/>
    <mergeCell ref="P47:R47"/>
    <mergeCell ref="H24:K24"/>
    <mergeCell ref="P27:R27"/>
    <mergeCell ref="H25:I25"/>
    <mergeCell ref="H26:I26"/>
    <mergeCell ref="P29:R29"/>
    <mergeCell ref="P32:R32"/>
    <mergeCell ref="P9:R9"/>
    <mergeCell ref="P10:Q10"/>
    <mergeCell ref="B23:E23"/>
    <mergeCell ref="B3:M3"/>
    <mergeCell ref="K5:K8"/>
    <mergeCell ref="L5:L8"/>
    <mergeCell ref="M5:M8"/>
    <mergeCell ref="B11:E11"/>
    <mergeCell ref="H12:K12"/>
    <mergeCell ref="H13:I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109"/>
  <sheetViews>
    <sheetView tabSelected="1" zoomScalePageLayoutView="0" workbookViewId="0" topLeftCell="A1">
      <selection activeCell="B10" sqref="B10"/>
    </sheetView>
  </sheetViews>
  <sheetFormatPr defaultColWidth="11.421875" defaultRowHeight="15"/>
  <cols>
    <col min="1" max="1" width="7.421875" style="0" customWidth="1"/>
    <col min="2" max="2" width="13.28125" style="0" customWidth="1"/>
    <col min="3" max="3" width="12.00390625" style="0" customWidth="1"/>
    <col min="4" max="4" width="10.00390625" style="0" customWidth="1"/>
    <col min="5" max="5" width="9.57421875" style="0" customWidth="1"/>
    <col min="6" max="6" width="7.8515625" style="0" customWidth="1"/>
    <col min="7" max="7" width="9.7109375" style="0" customWidth="1"/>
    <col min="8" max="8" width="8.140625" style="0" customWidth="1"/>
    <col min="9" max="9" width="8.8515625" style="0" customWidth="1"/>
    <col min="10" max="11" width="7.7109375" style="0" customWidth="1"/>
    <col min="12" max="12" width="7.00390625" style="0" customWidth="1"/>
    <col min="13" max="13" width="7.57421875" style="0" customWidth="1"/>
    <col min="14" max="14" width="9.140625" style="0" customWidth="1"/>
    <col min="15" max="18" width="10.00390625" style="0" customWidth="1"/>
  </cols>
  <sheetData>
    <row r="1" ht="15" customHeight="1"/>
    <row r="2" ht="11.25" customHeight="1"/>
    <row r="3" spans="1:19" ht="11.25" customHeight="1">
      <c r="A3" s="1"/>
      <c r="B3" s="112" t="s">
        <v>67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5"/>
      <c r="O3" s="5"/>
      <c r="P3" t="s">
        <v>77</v>
      </c>
      <c r="S3" s="45"/>
    </row>
    <row r="4" spans="1:20" ht="11.25" customHeight="1" thickBot="1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70"/>
      <c r="S4" s="71"/>
      <c r="T4" s="71"/>
    </row>
    <row r="5" spans="1:20" ht="11.25" customHeight="1">
      <c r="A5" s="1"/>
      <c r="B5" s="54" t="s">
        <v>10</v>
      </c>
      <c r="C5" s="54" t="s">
        <v>11</v>
      </c>
      <c r="D5" s="54" t="s">
        <v>12</v>
      </c>
      <c r="E5" s="54" t="s">
        <v>13</v>
      </c>
      <c r="F5" s="54" t="s">
        <v>12</v>
      </c>
      <c r="G5" s="54" t="s">
        <v>12</v>
      </c>
      <c r="H5" s="54" t="s">
        <v>64</v>
      </c>
      <c r="I5" s="54" t="s">
        <v>19</v>
      </c>
      <c r="J5" s="54" t="s">
        <v>70</v>
      </c>
      <c r="K5" s="113" t="s">
        <v>72</v>
      </c>
      <c r="L5" s="113" t="s">
        <v>73</v>
      </c>
      <c r="M5" s="113" t="s">
        <v>74</v>
      </c>
      <c r="N5" s="75"/>
      <c r="O5" s="4"/>
      <c r="S5" s="27"/>
      <c r="T5" s="27"/>
    </row>
    <row r="6" spans="1:20" ht="11.25" customHeight="1">
      <c r="A6" s="1"/>
      <c r="B6" s="55" t="s">
        <v>14</v>
      </c>
      <c r="C6" s="55" t="s">
        <v>15</v>
      </c>
      <c r="D6" s="55" t="s">
        <v>16</v>
      </c>
      <c r="E6" s="55" t="s">
        <v>17</v>
      </c>
      <c r="F6" s="55" t="s">
        <v>18</v>
      </c>
      <c r="G6" s="55" t="s">
        <v>68</v>
      </c>
      <c r="H6" s="55" t="s">
        <v>65</v>
      </c>
      <c r="I6" s="103"/>
      <c r="J6" s="55" t="s">
        <v>69</v>
      </c>
      <c r="K6" s="114"/>
      <c r="L6" s="114"/>
      <c r="M6" s="114"/>
      <c r="N6" s="75"/>
      <c r="O6" s="4"/>
      <c r="S6" s="27"/>
      <c r="T6" s="27"/>
    </row>
    <row r="7" spans="1:20" ht="11.25" customHeight="1">
      <c r="A7" s="1"/>
      <c r="B7" s="55"/>
      <c r="C7" s="55"/>
      <c r="D7" s="55"/>
      <c r="E7" s="55"/>
      <c r="F7" s="55"/>
      <c r="G7" s="55" t="s">
        <v>0</v>
      </c>
      <c r="H7" s="88" t="s">
        <v>66</v>
      </c>
      <c r="I7" s="55"/>
      <c r="J7" s="56" t="s">
        <v>0</v>
      </c>
      <c r="K7" s="114"/>
      <c r="L7" s="114"/>
      <c r="M7" s="114"/>
      <c r="N7" s="75"/>
      <c r="O7" s="4" t="s">
        <v>0</v>
      </c>
      <c r="S7" s="27"/>
      <c r="T7" s="71"/>
    </row>
    <row r="8" spans="1:20" ht="11.25" customHeight="1" thickBot="1">
      <c r="A8" s="1"/>
      <c r="B8" s="57"/>
      <c r="C8" s="57" t="s">
        <v>20</v>
      </c>
      <c r="D8" s="57" t="s">
        <v>20</v>
      </c>
      <c r="E8" s="57"/>
      <c r="F8" s="57" t="s">
        <v>20</v>
      </c>
      <c r="G8" s="57" t="s">
        <v>20</v>
      </c>
      <c r="H8" s="86" t="s">
        <v>0</v>
      </c>
      <c r="I8" s="86"/>
      <c r="J8" s="58" t="s">
        <v>0</v>
      </c>
      <c r="K8" s="115"/>
      <c r="L8" s="115"/>
      <c r="M8" s="115"/>
      <c r="N8" s="75"/>
      <c r="O8" s="4"/>
      <c r="S8" s="29"/>
      <c r="T8" s="27"/>
    </row>
    <row r="9" spans="1:20" ht="11.25" customHeight="1" thickBot="1">
      <c r="A9" s="1"/>
      <c r="B9" s="59">
        <v>105</v>
      </c>
      <c r="C9" s="60">
        <v>10</v>
      </c>
      <c r="D9" s="61">
        <f>(B9*C9)</f>
        <v>1050</v>
      </c>
      <c r="E9" s="59">
        <v>30</v>
      </c>
      <c r="F9" s="61">
        <f>D9*E9/100</f>
        <v>315</v>
      </c>
      <c r="G9" s="61">
        <f>D9+F9</f>
        <v>1365</v>
      </c>
      <c r="H9" s="61">
        <f>D23*K23</f>
        <v>540</v>
      </c>
      <c r="I9" s="61">
        <f>P18</f>
        <v>608</v>
      </c>
      <c r="J9" s="61">
        <f>E38</f>
        <v>250</v>
      </c>
      <c r="K9" s="62">
        <f>P34</f>
        <v>27</v>
      </c>
      <c r="L9" s="62">
        <f>Q34</f>
        <v>24</v>
      </c>
      <c r="M9" s="62">
        <f>R34</f>
        <v>3</v>
      </c>
      <c r="N9" s="24"/>
      <c r="O9" s="4"/>
      <c r="P9" s="104" t="s">
        <v>1</v>
      </c>
      <c r="Q9" s="105"/>
      <c r="R9" s="106"/>
      <c r="S9" s="40"/>
      <c r="T9" s="27"/>
    </row>
    <row r="10" spans="1:20" ht="11.25" customHeight="1" thickBot="1">
      <c r="A10" s="1"/>
      <c r="B10" s="4" t="s">
        <v>0</v>
      </c>
      <c r="C10" s="20"/>
      <c r="D10" s="39"/>
      <c r="E10" s="39"/>
      <c r="F10" s="20"/>
      <c r="G10" s="23"/>
      <c r="H10" s="23"/>
      <c r="I10" s="23"/>
      <c r="J10" s="23"/>
      <c r="K10" s="23"/>
      <c r="L10" s="23"/>
      <c r="M10" s="24"/>
      <c r="N10" s="24"/>
      <c r="O10" s="5" t="s">
        <v>0</v>
      </c>
      <c r="P10" s="107" t="s">
        <v>58</v>
      </c>
      <c r="Q10" s="108"/>
      <c r="R10" s="67">
        <f>G9-E23</f>
        <v>825</v>
      </c>
      <c r="S10" s="27"/>
      <c r="T10" s="27"/>
    </row>
    <row r="11" spans="1:20" ht="11.25" customHeight="1" thickBot="1">
      <c r="A11" s="1"/>
      <c r="B11" s="109" t="s">
        <v>21</v>
      </c>
      <c r="C11" s="110"/>
      <c r="D11" s="110"/>
      <c r="E11" s="111"/>
      <c r="F11" s="36"/>
      <c r="M11" s="27"/>
      <c r="N11" s="27"/>
      <c r="O11" s="27"/>
      <c r="P11" s="68" t="s">
        <v>19</v>
      </c>
      <c r="Q11" s="68" t="s">
        <v>59</v>
      </c>
      <c r="R11" s="89" t="s">
        <v>60</v>
      </c>
      <c r="S11" s="4"/>
      <c r="T11" s="4"/>
    </row>
    <row r="12" spans="1:20" ht="11.25" customHeight="1" thickBot="1">
      <c r="A12" s="1"/>
      <c r="B12" s="52" t="s">
        <v>22</v>
      </c>
      <c r="C12" s="52" t="s">
        <v>23</v>
      </c>
      <c r="D12" s="64" t="s">
        <v>24</v>
      </c>
      <c r="E12" s="51" t="s">
        <v>24</v>
      </c>
      <c r="F12" s="65"/>
      <c r="G12" s="43"/>
      <c r="H12" s="109" t="s">
        <v>25</v>
      </c>
      <c r="I12" s="116"/>
      <c r="J12" s="116"/>
      <c r="K12" s="117"/>
      <c r="L12" s="30"/>
      <c r="M12" s="27"/>
      <c r="N12" s="27"/>
      <c r="O12" s="29"/>
      <c r="P12" s="8">
        <f>R10*0.7</f>
        <v>577.5</v>
      </c>
      <c r="Q12" s="73">
        <f>R10*0.3</f>
        <v>247.5</v>
      </c>
      <c r="R12" s="89">
        <f>E23</f>
        <v>540</v>
      </c>
      <c r="S12" s="4"/>
      <c r="T12" s="4"/>
    </row>
    <row r="13" spans="1:20" ht="11.25" customHeight="1" thickBot="1">
      <c r="A13" s="1"/>
      <c r="B13" s="82" t="s">
        <v>26</v>
      </c>
      <c r="C13" s="82" t="s">
        <v>28</v>
      </c>
      <c r="D13" s="83" t="s">
        <v>27</v>
      </c>
      <c r="E13" s="82" t="s">
        <v>29</v>
      </c>
      <c r="F13" s="21"/>
      <c r="G13" s="44"/>
      <c r="H13" s="118" t="s">
        <v>30</v>
      </c>
      <c r="I13" s="119"/>
      <c r="J13" s="78" t="s">
        <v>31</v>
      </c>
      <c r="K13" s="78" t="s">
        <v>32</v>
      </c>
      <c r="L13" s="27"/>
      <c r="M13" s="27"/>
      <c r="N13" s="27"/>
      <c r="O13" s="29"/>
      <c r="P13" s="6"/>
      <c r="Q13" s="8">
        <f>Q12+P26</f>
        <v>217</v>
      </c>
      <c r="R13" s="69" t="s">
        <v>0</v>
      </c>
      <c r="S13" s="4"/>
      <c r="T13" s="4"/>
    </row>
    <row r="14" spans="1:20" ht="11.25" customHeight="1" thickBot="1">
      <c r="A14" s="1"/>
      <c r="B14" s="82"/>
      <c r="C14" s="82" t="s">
        <v>34</v>
      </c>
      <c r="D14" s="83" t="s">
        <v>33</v>
      </c>
      <c r="E14" s="82" t="s">
        <v>35</v>
      </c>
      <c r="F14" s="21"/>
      <c r="G14" s="15"/>
      <c r="H14" s="120" t="s">
        <v>36</v>
      </c>
      <c r="I14" s="121"/>
      <c r="J14" s="79"/>
      <c r="K14" s="79" t="s">
        <v>37</v>
      </c>
      <c r="L14" s="41"/>
      <c r="M14" s="41"/>
      <c r="N14" s="41"/>
      <c r="O14" s="41"/>
      <c r="P14" s="8">
        <f>P12/C24</f>
        <v>10.89622641509434</v>
      </c>
      <c r="Q14" s="8">
        <f>Q12/C38</f>
        <v>9.9</v>
      </c>
      <c r="R14" s="8" t="s">
        <v>0</v>
      </c>
      <c r="S14" s="4"/>
      <c r="T14" s="4"/>
    </row>
    <row r="15" spans="1:20" ht="11.25" customHeight="1" thickBot="1">
      <c r="A15" s="1"/>
      <c r="B15" s="63" t="s">
        <v>38</v>
      </c>
      <c r="C15" s="94">
        <f aca="true" t="shared" si="0" ref="C15:C22">I15</f>
        <v>1</v>
      </c>
      <c r="D15" s="96">
        <v>20</v>
      </c>
      <c r="E15" s="96">
        <f aca="true" t="shared" si="1" ref="E15:E23">C15*D15</f>
        <v>20</v>
      </c>
      <c r="F15" s="21"/>
      <c r="G15" s="76" t="s">
        <v>38</v>
      </c>
      <c r="H15" s="84">
        <v>1</v>
      </c>
      <c r="I15" s="84">
        <v>1</v>
      </c>
      <c r="J15" s="84">
        <v>0</v>
      </c>
      <c r="K15" s="92">
        <v>0</v>
      </c>
      <c r="L15" s="42"/>
      <c r="M15" s="35"/>
      <c r="N15" s="35"/>
      <c r="O15" s="35">
        <f>IF((P20-P22)&gt;0.8,P22+1,IF((P20-P22)&gt;0.3,P22+0.5,P22))</f>
        <v>11</v>
      </c>
      <c r="P15" s="8">
        <f>IF((P20-P22)&gt;0.75,P22+1,IF((P20-P22)&gt;0.25,P22+0.5,P22))</f>
        <v>11</v>
      </c>
      <c r="Q15" s="8">
        <f>IF((Q20-Q22)&gt;0.75,Q22+1,IF((Q20-Q22)&gt;0.25,Q22+0.5,Q22))</f>
        <v>10</v>
      </c>
      <c r="R15" s="8" t="s">
        <v>0</v>
      </c>
      <c r="S15" s="4">
        <f>IF((Q20-Q22)&gt;0.8,Q22+1,IF((Q20-Q22)&gt;0.3,Q22+0.5,Q22))</f>
        <v>10</v>
      </c>
      <c r="T15" s="4"/>
    </row>
    <row r="16" spans="1:20" ht="11.25" customHeight="1" thickBot="1">
      <c r="A16" s="1"/>
      <c r="B16" s="63" t="s">
        <v>39</v>
      </c>
      <c r="C16" s="94">
        <f t="shared" si="0"/>
        <v>2</v>
      </c>
      <c r="D16" s="96">
        <v>15</v>
      </c>
      <c r="E16" s="96">
        <f t="shared" si="1"/>
        <v>30</v>
      </c>
      <c r="F16" s="21"/>
      <c r="G16" s="76" t="s">
        <v>39</v>
      </c>
      <c r="H16" s="84">
        <f>ROUNDDOWN(K17/2,0)</f>
        <v>2</v>
      </c>
      <c r="I16" s="84">
        <f>ROUNDDOWN(K17/2,0)</f>
        <v>2</v>
      </c>
      <c r="J16" s="90">
        <f aca="true" t="shared" si="2" ref="J16:J21">K17-H16-I16</f>
        <v>0</v>
      </c>
      <c r="K16" s="91">
        <f aca="true" t="shared" si="3" ref="K16:K21">I16+J16</f>
        <v>2</v>
      </c>
      <c r="L16" s="28"/>
      <c r="M16" s="28"/>
      <c r="N16" s="28"/>
      <c r="O16" s="28"/>
      <c r="P16" s="7"/>
      <c r="Q16" s="7"/>
      <c r="R16" s="9"/>
      <c r="S16" s="4"/>
      <c r="T16" s="4"/>
    </row>
    <row r="17" spans="1:20" ht="11.25" customHeight="1" thickBot="1">
      <c r="A17" s="1"/>
      <c r="B17" s="63" t="s">
        <v>42</v>
      </c>
      <c r="C17" s="94">
        <f t="shared" si="0"/>
        <v>4</v>
      </c>
      <c r="D17" s="96">
        <v>15</v>
      </c>
      <c r="E17" s="96">
        <f>C17*D17</f>
        <v>60</v>
      </c>
      <c r="F17" s="21"/>
      <c r="G17" s="77" t="s">
        <v>49</v>
      </c>
      <c r="H17" s="84">
        <f>IF(B9&lt;=8,0,IF(H19&gt;0,K18-4,ROUNDDOWN(K18/2,0)))</f>
        <v>4</v>
      </c>
      <c r="I17" s="84">
        <f>IF(B9&lt;=8,0,ROUNDDOWN(K18/2,0))</f>
        <v>4</v>
      </c>
      <c r="J17" s="90">
        <f t="shared" si="2"/>
        <v>0</v>
      </c>
      <c r="K17" s="91">
        <f t="shared" si="3"/>
        <v>4</v>
      </c>
      <c r="L17" s="29"/>
      <c r="M17" s="35"/>
      <c r="N17" s="35"/>
      <c r="O17" s="35"/>
      <c r="P17" s="10" t="s">
        <v>2</v>
      </c>
      <c r="Q17" s="10" t="s">
        <v>2</v>
      </c>
      <c r="R17" s="10" t="s">
        <v>0</v>
      </c>
      <c r="S17" s="4"/>
      <c r="T17" s="4"/>
    </row>
    <row r="18" spans="1:20" ht="11.25" customHeight="1" thickBot="1">
      <c r="A18" s="1"/>
      <c r="B18" s="63" t="s">
        <v>43</v>
      </c>
      <c r="C18" s="94">
        <f t="shared" si="0"/>
        <v>6</v>
      </c>
      <c r="D18" s="96">
        <v>12</v>
      </c>
      <c r="E18" s="96">
        <f>C18*D18</f>
        <v>72</v>
      </c>
      <c r="F18" s="21"/>
      <c r="G18" s="77" t="s">
        <v>50</v>
      </c>
      <c r="H18" s="84">
        <f>IF(B9&lt;=16,0,IF(K19&lt;=8,0,IF(H20=0,ROUNDDOWN(K19/2,0),IF(H19=0,ROUNDDOWN(K19/2,0),IF(H20&gt;0,K19-8,ROUNDDOWN(K19/2,0))))))</f>
        <v>6</v>
      </c>
      <c r="I18" s="84">
        <f>IF(B9&lt;=16,0,IF(K19&lt;=8,0,IF(H20=0,ROUNDDOWN(K19/2,0),IF(H19=0,ROUNDDOWN(K19/2,0),IF(H20&gt;0,K19-8,ROUNDDOWN(K19/2,0))))))</f>
        <v>6</v>
      </c>
      <c r="J18" s="90">
        <f t="shared" si="2"/>
        <v>2</v>
      </c>
      <c r="K18" s="91">
        <f t="shared" si="3"/>
        <v>8</v>
      </c>
      <c r="L18" s="27"/>
      <c r="M18" s="27"/>
      <c r="N18" s="27"/>
      <c r="O18" s="27"/>
      <c r="P18" s="11">
        <f>E24</f>
        <v>608</v>
      </c>
      <c r="Q18" s="12">
        <f>E38</f>
        <v>250</v>
      </c>
      <c r="R18" s="12" t="s">
        <v>0</v>
      </c>
      <c r="S18" s="4"/>
      <c r="T18" s="4"/>
    </row>
    <row r="19" spans="1:20" ht="11.25" customHeight="1" thickBot="1">
      <c r="A19" s="1"/>
      <c r="B19" s="63" t="s">
        <v>44</v>
      </c>
      <c r="C19" s="94">
        <f t="shared" si="0"/>
        <v>13</v>
      </c>
      <c r="D19" s="96">
        <v>12</v>
      </c>
      <c r="E19" s="96">
        <f>C19*D19</f>
        <v>156</v>
      </c>
      <c r="F19" s="66"/>
      <c r="G19" s="77" t="s">
        <v>51</v>
      </c>
      <c r="H19" s="84">
        <f>IF(B9&lt;=32,0,IF(K20&lt;=16,0,IF(H21=0,ROUNDDOWN(K20/2,0),IF(K20&gt;16,K20-16,ROUNDDOWN(K20/2,0)))))</f>
        <v>13</v>
      </c>
      <c r="I19" s="84">
        <f>IF(K20&lt;=16,0,IF(H21=0,ROUNDDOWN(K20/2,0),IF(K20&gt;16,K20-16,ROUNDDOWN(K20/2,0))))</f>
        <v>13</v>
      </c>
      <c r="J19" s="90">
        <f t="shared" si="2"/>
        <v>1</v>
      </c>
      <c r="K19" s="91">
        <f t="shared" si="3"/>
        <v>14</v>
      </c>
      <c r="L19" s="29"/>
      <c r="M19" s="35"/>
      <c r="N19" s="35"/>
      <c r="O19" s="35"/>
      <c r="P19" s="13" t="s">
        <v>3</v>
      </c>
      <c r="Q19" s="13" t="s">
        <v>3</v>
      </c>
      <c r="R19" s="13" t="s">
        <v>0</v>
      </c>
      <c r="S19" s="4"/>
      <c r="T19" s="4"/>
    </row>
    <row r="20" spans="1:20" ht="11.25" customHeight="1" thickBot="1">
      <c r="A20" s="1"/>
      <c r="B20" s="85" t="s">
        <v>55</v>
      </c>
      <c r="C20" s="94">
        <f t="shared" si="0"/>
        <v>27</v>
      </c>
      <c r="D20" s="97">
        <v>10</v>
      </c>
      <c r="E20" s="96">
        <f>C20*D20</f>
        <v>270</v>
      </c>
      <c r="F20" s="21"/>
      <c r="G20" s="77" t="s">
        <v>52</v>
      </c>
      <c r="H20" s="84">
        <f>IF(H22=0,ROUNDDOWN(K21/2,0),IF(H21=0,ROUNDDOWN(K21/2,0),K21-32))</f>
        <v>27</v>
      </c>
      <c r="I20" s="7">
        <f>IF(H22=0,ROUNDDOWN(K21/2,0),IF(H21=0,ROUNDDOWN(K21/2,0),K21-32))</f>
        <v>27</v>
      </c>
      <c r="J20" s="90">
        <f t="shared" si="2"/>
        <v>0</v>
      </c>
      <c r="K20" s="91">
        <f t="shared" si="3"/>
        <v>27</v>
      </c>
      <c r="L20" s="27"/>
      <c r="M20" s="27"/>
      <c r="N20" s="27"/>
      <c r="O20" s="27"/>
      <c r="P20" s="9">
        <f>P14</f>
        <v>10.89622641509434</v>
      </c>
      <c r="Q20" s="12">
        <f>Q14</f>
        <v>9.9</v>
      </c>
      <c r="R20" s="12" t="s">
        <v>0</v>
      </c>
      <c r="S20" s="4"/>
      <c r="T20" s="4"/>
    </row>
    <row r="21" spans="1:20" ht="11.25" customHeight="1" thickBot="1">
      <c r="A21" s="1"/>
      <c r="B21" s="85" t="s">
        <v>56</v>
      </c>
      <c r="C21" s="94">
        <f t="shared" si="0"/>
        <v>0</v>
      </c>
      <c r="D21" s="96">
        <f>IF(C21=0,0,P24)</f>
        <v>0</v>
      </c>
      <c r="E21" s="96">
        <f>C21*D21</f>
        <v>0</v>
      </c>
      <c r="F21" s="21"/>
      <c r="G21" s="77" t="s">
        <v>53</v>
      </c>
      <c r="H21" s="7">
        <f>IF(K22&lt;64,0,ROUNDDOWN(K22/2,0))</f>
        <v>0</v>
      </c>
      <c r="I21" s="84">
        <f>IF(K22&lt;=64,0,ROUNDDOWN(K22/2,0))</f>
        <v>0</v>
      </c>
      <c r="J21" s="7">
        <f t="shared" si="2"/>
        <v>54</v>
      </c>
      <c r="K21" s="91">
        <f t="shared" si="3"/>
        <v>54</v>
      </c>
      <c r="L21" s="29"/>
      <c r="M21" s="27"/>
      <c r="N21" s="27"/>
      <c r="O21" s="29"/>
      <c r="P21" s="7" t="s">
        <v>4</v>
      </c>
      <c r="Q21" s="7" t="s">
        <v>4</v>
      </c>
      <c r="R21" s="7" t="s">
        <v>0</v>
      </c>
      <c r="S21" s="4"/>
      <c r="T21" s="4"/>
    </row>
    <row r="22" spans="1:20" ht="11.25" customHeight="1" thickBot="1">
      <c r="A22" s="1"/>
      <c r="B22" s="63" t="s">
        <v>57</v>
      </c>
      <c r="C22" s="94">
        <f t="shared" si="0"/>
        <v>0</v>
      </c>
      <c r="D22" s="96">
        <f>IF(C22=0,0,P24)</f>
        <v>0</v>
      </c>
      <c r="E22" s="96">
        <f t="shared" si="1"/>
        <v>0</v>
      </c>
      <c r="F22" s="18"/>
      <c r="G22" s="4" t="s">
        <v>54</v>
      </c>
      <c r="H22" s="7">
        <f>IF(K23&gt;128,ROUNDDOWN(K23/2,0),0)</f>
        <v>0</v>
      </c>
      <c r="I22" s="7">
        <f>IF(K23&gt;128,ROUNDDOWN(K23/2,0),0)</f>
        <v>0</v>
      </c>
      <c r="J22" s="7">
        <f>K23-H22-I22</f>
        <v>54</v>
      </c>
      <c r="K22" s="7">
        <f>I22+J22</f>
        <v>54</v>
      </c>
      <c r="L22" s="27"/>
      <c r="M22" s="27"/>
      <c r="N22" s="27"/>
      <c r="O22" s="27"/>
      <c r="P22" s="9">
        <f>ROUNDDOWN(P20,0.01)</f>
        <v>10</v>
      </c>
      <c r="Q22" s="12">
        <f>ROUNDDOWN(Q20,0.01)</f>
        <v>9</v>
      </c>
      <c r="R22" s="12" t="s">
        <v>0</v>
      </c>
      <c r="S22" s="4"/>
      <c r="T22" s="4"/>
    </row>
    <row r="23" spans="1:20" ht="11.25" customHeight="1" thickBot="1">
      <c r="A23" s="1"/>
      <c r="B23" s="63" t="s">
        <v>71</v>
      </c>
      <c r="C23" s="94">
        <f>K23</f>
        <v>54</v>
      </c>
      <c r="D23" s="96">
        <v>10</v>
      </c>
      <c r="E23" s="102">
        <f t="shared" si="1"/>
        <v>540</v>
      </c>
      <c r="F23" s="36"/>
      <c r="H23" s="122" t="s">
        <v>48</v>
      </c>
      <c r="I23" s="123"/>
      <c r="J23" s="124"/>
      <c r="K23" s="10">
        <f>K9*2</f>
        <v>54</v>
      </c>
      <c r="L23" s="42"/>
      <c r="M23" s="35"/>
      <c r="N23" s="35"/>
      <c r="O23" s="35"/>
      <c r="P23" s="7" t="s">
        <v>5</v>
      </c>
      <c r="Q23" s="7" t="s">
        <v>6</v>
      </c>
      <c r="R23" s="7" t="s">
        <v>0</v>
      </c>
      <c r="S23" s="4"/>
      <c r="T23" s="4"/>
    </row>
    <row r="24" spans="1:20" ht="11.25" customHeight="1" thickBot="1">
      <c r="A24" s="1"/>
      <c r="B24" s="63" t="s">
        <v>40</v>
      </c>
      <c r="C24" s="94">
        <f>IF(C18=0,SUM(C15:C17),IF(C19=0,SUM(C15:C18),IF(C20=0,SUM(C15:C19),IF(C21=0,SUM(C15:C20),IF(C22=0,SUM(C15:C21),SUM(C15:C22))))))</f>
        <v>53</v>
      </c>
      <c r="D24" s="96">
        <f>SUM(D15:D23)</f>
        <v>94</v>
      </c>
      <c r="E24" s="96">
        <f>SUM(E15:E22)</f>
        <v>608</v>
      </c>
      <c r="F24" s="36"/>
      <c r="H24" s="41"/>
      <c r="I24" s="41"/>
      <c r="J24" s="41"/>
      <c r="K24" s="41"/>
      <c r="L24" s="29"/>
      <c r="M24" s="29"/>
      <c r="N24" s="29"/>
      <c r="O24" s="29"/>
      <c r="P24" s="9">
        <f>P15</f>
        <v>11</v>
      </c>
      <c r="Q24" s="9">
        <f>Q15</f>
        <v>10</v>
      </c>
      <c r="R24" s="9" t="s">
        <v>0</v>
      </c>
      <c r="S24" s="4"/>
      <c r="T24" s="4"/>
    </row>
    <row r="25" spans="1:20" ht="11.25" customHeight="1" thickBot="1">
      <c r="A25" s="1"/>
      <c r="B25" s="16"/>
      <c r="C25" s="16"/>
      <c r="D25" s="16"/>
      <c r="E25" s="16"/>
      <c r="F25" s="65"/>
      <c r="H25" s="41"/>
      <c r="I25" s="41"/>
      <c r="J25" s="41"/>
      <c r="K25" s="41"/>
      <c r="L25" s="47"/>
      <c r="M25" s="29"/>
      <c r="N25" s="29"/>
      <c r="O25" s="29"/>
      <c r="P25" s="7" t="s">
        <v>7</v>
      </c>
      <c r="Q25" s="7" t="s">
        <v>8</v>
      </c>
      <c r="R25" s="7" t="s">
        <v>0</v>
      </c>
      <c r="S25" s="4"/>
      <c r="T25" s="4"/>
    </row>
    <row r="26" spans="1:20" ht="11.25" customHeight="1" thickBot="1">
      <c r="A26" s="1"/>
      <c r="B26" s="109" t="s">
        <v>41</v>
      </c>
      <c r="C26" s="110"/>
      <c r="D26" s="110"/>
      <c r="E26" s="111"/>
      <c r="F26" s="21"/>
      <c r="H26" s="80"/>
      <c r="I26" s="80"/>
      <c r="J26" s="80"/>
      <c r="K26" s="80"/>
      <c r="L26" s="27"/>
      <c r="M26" s="27"/>
      <c r="N26" s="27"/>
      <c r="O26" s="27"/>
      <c r="P26" s="11">
        <f>P12-P18</f>
        <v>-30.5</v>
      </c>
      <c r="Q26" s="12">
        <f>Q12-E38</f>
        <v>-2.5</v>
      </c>
      <c r="R26" s="12" t="s">
        <v>0</v>
      </c>
      <c r="S26" s="4"/>
      <c r="T26" s="4"/>
    </row>
    <row r="27" spans="1:20" ht="11.25" customHeight="1" thickBot="1">
      <c r="A27" s="1"/>
      <c r="B27" s="52" t="s">
        <v>22</v>
      </c>
      <c r="C27" s="52" t="s">
        <v>23</v>
      </c>
      <c r="D27" s="64" t="s">
        <v>24</v>
      </c>
      <c r="E27" s="51" t="s">
        <v>24</v>
      </c>
      <c r="F27" s="21"/>
      <c r="G27" s="43"/>
      <c r="H27" s="109" t="s">
        <v>25</v>
      </c>
      <c r="I27" s="116"/>
      <c r="J27" s="116"/>
      <c r="K27" s="117"/>
      <c r="L27" s="46"/>
      <c r="M27" s="29"/>
      <c r="N27" s="29"/>
      <c r="O27" s="27"/>
      <c r="P27" s="126" t="s">
        <v>61</v>
      </c>
      <c r="Q27" s="127"/>
      <c r="R27" s="128"/>
      <c r="S27" s="4"/>
      <c r="T27" s="4"/>
    </row>
    <row r="28" spans="1:20" ht="11.25" customHeight="1" thickBot="1">
      <c r="A28" s="1"/>
      <c r="B28" s="82" t="s">
        <v>26</v>
      </c>
      <c r="C28" s="82" t="s">
        <v>28</v>
      </c>
      <c r="D28" s="83" t="s">
        <v>27</v>
      </c>
      <c r="E28" s="82" t="s">
        <v>29</v>
      </c>
      <c r="F28" s="21"/>
      <c r="G28" s="44"/>
      <c r="H28" s="118" t="s">
        <v>30</v>
      </c>
      <c r="I28" s="119"/>
      <c r="J28" s="78" t="s">
        <v>31</v>
      </c>
      <c r="K28" s="78" t="s">
        <v>32</v>
      </c>
      <c r="L28" s="46"/>
      <c r="M28" s="27"/>
      <c r="N28" s="27"/>
      <c r="O28" s="27"/>
      <c r="P28" s="4"/>
      <c r="Q28" s="19">
        <f>SUM(P26:R26)</f>
        <v>-33</v>
      </c>
      <c r="R28" s="74" t="s">
        <v>0</v>
      </c>
      <c r="S28" s="4"/>
      <c r="T28" s="4"/>
    </row>
    <row r="29" spans="1:20" ht="11.25" customHeight="1" thickBot="1">
      <c r="A29" s="1"/>
      <c r="B29" s="53"/>
      <c r="C29" s="53" t="s">
        <v>34</v>
      </c>
      <c r="D29" s="81" t="s">
        <v>33</v>
      </c>
      <c r="E29" s="53" t="s">
        <v>35</v>
      </c>
      <c r="F29" s="21"/>
      <c r="G29" s="15"/>
      <c r="H29" s="120" t="s">
        <v>36</v>
      </c>
      <c r="I29" s="121"/>
      <c r="J29" s="79"/>
      <c r="K29" s="79" t="s">
        <v>37</v>
      </c>
      <c r="L29" s="46"/>
      <c r="M29" s="27"/>
      <c r="N29" s="27"/>
      <c r="O29" s="27"/>
      <c r="P29" s="107" t="s">
        <v>9</v>
      </c>
      <c r="Q29" s="108"/>
      <c r="R29" s="129"/>
      <c r="S29" s="4"/>
      <c r="T29" s="4"/>
    </row>
    <row r="30" spans="1:20" ht="11.25" customHeight="1" thickBot="1">
      <c r="A30" s="1"/>
      <c r="B30" s="63" t="s">
        <v>38</v>
      </c>
      <c r="C30" s="94">
        <f aca="true" t="shared" si="4" ref="C30:C36">I30</f>
        <v>1</v>
      </c>
      <c r="D30" s="96">
        <f>Q24</f>
        <v>10</v>
      </c>
      <c r="E30" s="96">
        <f aca="true" t="shared" si="5" ref="E30:E37">C30*D30</f>
        <v>10</v>
      </c>
      <c r="F30" s="21"/>
      <c r="G30" s="76" t="s">
        <v>38</v>
      </c>
      <c r="H30" s="98">
        <v>1</v>
      </c>
      <c r="I30" s="84">
        <v>1</v>
      </c>
      <c r="J30" s="84">
        <v>0</v>
      </c>
      <c r="K30" s="92">
        <v>0</v>
      </c>
      <c r="L30" s="45"/>
      <c r="M30" s="4"/>
      <c r="N30" s="4"/>
      <c r="O30" s="4"/>
      <c r="P30" s="27"/>
      <c r="Q30" s="9">
        <f>P18+Q18+R12</f>
        <v>1398</v>
      </c>
      <c r="R30" s="4"/>
      <c r="S30" s="93"/>
      <c r="T30" s="4"/>
    </row>
    <row r="31" spans="1:20" ht="11.25" customHeight="1" thickBot="1">
      <c r="A31" s="1"/>
      <c r="B31" s="63" t="s">
        <v>39</v>
      </c>
      <c r="C31" s="94">
        <f t="shared" si="4"/>
        <v>2</v>
      </c>
      <c r="D31" s="96">
        <f>Q24</f>
        <v>10</v>
      </c>
      <c r="E31" s="96">
        <f t="shared" si="5"/>
        <v>20</v>
      </c>
      <c r="F31" s="21"/>
      <c r="G31" s="76" t="s">
        <v>39</v>
      </c>
      <c r="H31" s="84">
        <f>ROUNDDOWN(K32/2,0)</f>
        <v>2</v>
      </c>
      <c r="I31" s="84">
        <f>ROUNDDOWN(K32/2,0)</f>
        <v>2</v>
      </c>
      <c r="J31" s="90">
        <f aca="true" t="shared" si="6" ref="J31:J37">K32-H31-I31</f>
        <v>0</v>
      </c>
      <c r="K31" s="91">
        <f aca="true" t="shared" si="7" ref="K31:K37">I31+J31</f>
        <v>2</v>
      </c>
      <c r="L31" s="45"/>
      <c r="M31" s="4"/>
      <c r="N31" s="4"/>
      <c r="O31" s="77"/>
      <c r="P31" s="27"/>
      <c r="Q31" s="4"/>
      <c r="R31" s="4"/>
      <c r="S31" s="4"/>
      <c r="T31" s="4"/>
    </row>
    <row r="32" spans="1:20" ht="11.25" customHeight="1" thickBot="1">
      <c r="A32" s="1"/>
      <c r="B32" s="63" t="s">
        <v>42</v>
      </c>
      <c r="C32" s="94">
        <f t="shared" si="4"/>
        <v>4</v>
      </c>
      <c r="D32" s="96">
        <f>Q24</f>
        <v>10</v>
      </c>
      <c r="E32" s="96">
        <f>C32*D32</f>
        <v>40</v>
      </c>
      <c r="F32" s="66"/>
      <c r="G32" s="77" t="s">
        <v>49</v>
      </c>
      <c r="H32" s="84">
        <f>IF(K33&lt;4,0,IF(K33&lt;8,K33-4,IF(K33&lt;4,0,ROUNDDOWN(K33/2,0))))</f>
        <v>4</v>
      </c>
      <c r="I32" s="90">
        <f>IF(K33&lt;4,0,IF(K33&lt;8,K33-4,IF(K33&lt;4,0,ROUNDDOWN(K33/2,0))))</f>
        <v>4</v>
      </c>
      <c r="J32" s="90">
        <f t="shared" si="6"/>
        <v>0</v>
      </c>
      <c r="K32" s="91">
        <f t="shared" si="7"/>
        <v>4</v>
      </c>
      <c r="L32" s="45"/>
      <c r="M32" s="4"/>
      <c r="N32" s="4"/>
      <c r="O32" s="4"/>
      <c r="P32" s="130" t="s">
        <v>47</v>
      </c>
      <c r="Q32" s="131"/>
      <c r="R32" s="132"/>
      <c r="S32" s="4"/>
      <c r="T32" s="4"/>
    </row>
    <row r="33" spans="1:20" ht="11.25" customHeight="1" thickBot="1">
      <c r="A33" s="1"/>
      <c r="B33" s="63" t="s">
        <v>43</v>
      </c>
      <c r="C33" s="94">
        <f t="shared" si="4"/>
        <v>5</v>
      </c>
      <c r="D33" s="96">
        <f>Q24</f>
        <v>10</v>
      </c>
      <c r="E33" s="96">
        <f>IF(C34=0,0,C33*D33)</f>
        <v>50</v>
      </c>
      <c r="F33" s="21"/>
      <c r="G33" s="77" t="s">
        <v>50</v>
      </c>
      <c r="H33" s="84">
        <f>IF(K34&lt;8,0,IF(H35=0,ROUNDDOWN(K34/2,0),IF(H34=0,ROUNDDOWN(K34/2,0),IF(H35&gt;0,K34-8,ROUNDDOWN(K34/2,0)))))</f>
        <v>5</v>
      </c>
      <c r="I33" s="90">
        <f>IF(K34&lt;8,0,IF(H35=0,ROUNDDOWN(K34/2,0),IF(H34=0,ROUNDDOWN(K34/2,0),IF(H35&gt;0,K34-8,ROUNDDOWN(K34/2,0)))))</f>
        <v>5</v>
      </c>
      <c r="J33" s="90">
        <f t="shared" si="6"/>
        <v>3</v>
      </c>
      <c r="K33" s="99">
        <f t="shared" si="7"/>
        <v>8</v>
      </c>
      <c r="L33" s="45"/>
      <c r="M33" s="4"/>
      <c r="N33" s="4"/>
      <c r="O33" s="76"/>
      <c r="P33" s="7" t="s">
        <v>40</v>
      </c>
      <c r="Q33" s="7" t="s">
        <v>45</v>
      </c>
      <c r="R33" s="7" t="s">
        <v>46</v>
      </c>
      <c r="S33" s="4"/>
      <c r="T33" s="4"/>
    </row>
    <row r="34" spans="1:20" ht="11.25" customHeight="1" thickBot="1">
      <c r="A34" s="1"/>
      <c r="B34" s="63" t="s">
        <v>44</v>
      </c>
      <c r="C34" s="94">
        <f t="shared" si="4"/>
        <v>13</v>
      </c>
      <c r="D34" s="96">
        <f>IF(C35=0,0,Q24)</f>
        <v>10</v>
      </c>
      <c r="E34" s="96">
        <f t="shared" si="5"/>
        <v>130</v>
      </c>
      <c r="F34" s="36"/>
      <c r="G34" s="77" t="s">
        <v>51</v>
      </c>
      <c r="H34" s="84">
        <f>IF(H36=0,ROUNDDOWN(K35/2,0),IF(H35=0,ROUNDDOWN(K35/2,0),K35-16))</f>
        <v>13</v>
      </c>
      <c r="I34" s="84">
        <f>IF(H36=0,ROUNDDOWN(K35/2,0),IF(H35=0,ROUNDDOWN(K35/2,0),K35-16))</f>
        <v>13</v>
      </c>
      <c r="J34" s="90">
        <f t="shared" si="6"/>
        <v>0</v>
      </c>
      <c r="K34" s="91">
        <f t="shared" si="7"/>
        <v>13</v>
      </c>
      <c r="L34" s="45"/>
      <c r="M34" s="4"/>
      <c r="N34" s="4"/>
      <c r="O34" s="76"/>
      <c r="P34" s="7">
        <f>ROUNDUP(B9/4,0)</f>
        <v>27</v>
      </c>
      <c r="Q34" s="7">
        <f>P34-R34</f>
        <v>24</v>
      </c>
      <c r="R34" s="7">
        <f>IF((B9/4)-ROUNDDOWN(B9/4,0)=0.25,3,IF((B9/4)-ROUNDDOWN(B9/4,0)=0.5,2,IF((B9/4)-ROUNDDOWN(B9/4,0)=0.75,1,0)))</f>
        <v>3</v>
      </c>
      <c r="S34" s="4"/>
      <c r="T34" s="4"/>
    </row>
    <row r="35" spans="1:20" ht="11.25" customHeight="1" thickBot="1">
      <c r="A35" s="1"/>
      <c r="B35" s="95" t="s">
        <v>62</v>
      </c>
      <c r="C35" s="94">
        <f t="shared" si="4"/>
        <v>25</v>
      </c>
      <c r="D35" s="96">
        <f>IF(C36=0,0,Q24)</f>
        <v>0</v>
      </c>
      <c r="E35" s="96">
        <f t="shared" si="5"/>
        <v>0</v>
      </c>
      <c r="F35" s="18"/>
      <c r="G35" s="77" t="s">
        <v>52</v>
      </c>
      <c r="H35" s="84">
        <f>IF(K36&lt;32,0,IF(H37=0,ROUNDDOWN(K36/2,0),IF(H36=0,ROUNDDOWN(K36/2,0),K36-32)))</f>
        <v>25</v>
      </c>
      <c r="I35" s="7">
        <f>IF(K36&lt;32,0,IF(H37=0,ROUNDDOWN(K36/2,0),IF(H36=0,ROUNDDOWN(K36/2,0),K36-32)))</f>
        <v>25</v>
      </c>
      <c r="J35" s="90">
        <f t="shared" si="6"/>
        <v>1</v>
      </c>
      <c r="K35" s="91">
        <f t="shared" si="7"/>
        <v>26</v>
      </c>
      <c r="L35" s="14"/>
      <c r="M35" s="4"/>
      <c r="N35" s="4"/>
      <c r="O35" s="77"/>
      <c r="P35" s="27" t="s">
        <v>0</v>
      </c>
      <c r="Q35" s="4"/>
      <c r="R35" s="4"/>
      <c r="S35" s="4"/>
      <c r="T35" s="4"/>
    </row>
    <row r="36" spans="1:20" ht="11.25" customHeight="1" thickBot="1">
      <c r="A36" s="1"/>
      <c r="B36" s="95" t="s">
        <v>56</v>
      </c>
      <c r="C36" s="94">
        <f t="shared" si="4"/>
        <v>0</v>
      </c>
      <c r="D36" s="96">
        <f>IF(C37=0,0,Q24)</f>
        <v>0</v>
      </c>
      <c r="E36" s="96">
        <f t="shared" si="5"/>
        <v>0</v>
      </c>
      <c r="F36" s="21"/>
      <c r="G36" s="77" t="s">
        <v>53</v>
      </c>
      <c r="H36" s="7">
        <f>IF(K37&lt;64,0,ROUNDDOWN(K37/2,0))</f>
        <v>0</v>
      </c>
      <c r="I36" s="84">
        <f>IF(K37&lt;64,0,ROUNDDOWN(K37/2,0))</f>
        <v>0</v>
      </c>
      <c r="J36" s="90">
        <f t="shared" si="6"/>
        <v>51</v>
      </c>
      <c r="K36" s="91">
        <f t="shared" si="7"/>
        <v>51</v>
      </c>
      <c r="L36" s="45"/>
      <c r="M36" s="4"/>
      <c r="N36" s="4"/>
      <c r="O36" s="77"/>
      <c r="P36" s="27" t="s">
        <v>0</v>
      </c>
      <c r="Q36" s="93"/>
      <c r="R36" s="93"/>
      <c r="S36" s="4"/>
      <c r="T36" s="4"/>
    </row>
    <row r="37" spans="1:20" ht="11.25" customHeight="1" thickBot="1">
      <c r="A37" s="1"/>
      <c r="B37" s="95" t="s">
        <v>57</v>
      </c>
      <c r="C37" s="94">
        <f>I37</f>
        <v>0</v>
      </c>
      <c r="D37" s="96">
        <v>0</v>
      </c>
      <c r="E37" s="96">
        <f t="shared" si="5"/>
        <v>0</v>
      </c>
      <c r="F37" s="25"/>
      <c r="G37" s="4" t="s">
        <v>54</v>
      </c>
      <c r="H37" s="7">
        <f>IF(K38&lt;128,0,ROUNDDOWN(K38/2,0))</f>
        <v>0</v>
      </c>
      <c r="I37" s="10">
        <f>IF(K38&lt;128,0,ROUNDDOWN(K38/2,0))</f>
        <v>0</v>
      </c>
      <c r="J37" s="101">
        <f t="shared" si="6"/>
        <v>51</v>
      </c>
      <c r="K37" s="90">
        <f t="shared" si="7"/>
        <v>51</v>
      </c>
      <c r="L37" s="27"/>
      <c r="M37" s="4"/>
      <c r="N37" s="4"/>
      <c r="O37" s="77"/>
      <c r="P37" s="4"/>
      <c r="Q37" s="4"/>
      <c r="R37" s="4"/>
      <c r="S37" s="4"/>
      <c r="T37" s="17"/>
    </row>
    <row r="38" spans="1:20" ht="11.25" customHeight="1" thickBot="1">
      <c r="A38" s="1"/>
      <c r="B38" s="63" t="s">
        <v>40</v>
      </c>
      <c r="C38" s="94">
        <f>IF(C34=0,SUM(C30:C32),IF(C35=0,SUM(C30:C33),IF(C36=0,SUM(C30:C34),IF(C37=0,SUM(C30:C35),SUM(C30:C36)))))</f>
        <v>25</v>
      </c>
      <c r="D38" s="96">
        <f>SUM(D30:D37)</f>
        <v>50</v>
      </c>
      <c r="E38" s="96">
        <f>SUM(E30:E36)</f>
        <v>250</v>
      </c>
      <c r="F38" s="29"/>
      <c r="G38" s="27"/>
      <c r="H38" s="122" t="s">
        <v>63</v>
      </c>
      <c r="I38" s="123"/>
      <c r="J38" s="124"/>
      <c r="K38" s="100">
        <f>B9-K23</f>
        <v>51</v>
      </c>
      <c r="L38" s="34"/>
      <c r="M38" s="4"/>
      <c r="N38" s="4"/>
      <c r="O38" s="77"/>
      <c r="P38" s="4"/>
      <c r="Q38" s="4"/>
      <c r="R38" s="4"/>
      <c r="S38" s="4"/>
      <c r="T38" s="17"/>
    </row>
    <row r="39" spans="1:20" ht="11.25" customHeight="1">
      <c r="A39" s="1"/>
      <c r="B39" s="4"/>
      <c r="C39" s="27"/>
      <c r="D39" s="27"/>
      <c r="E39" s="21"/>
      <c r="F39" s="31"/>
      <c r="G39" s="18"/>
      <c r="H39" s="87" t="s">
        <v>0</v>
      </c>
      <c r="I39" s="26"/>
      <c r="J39" s="26"/>
      <c r="K39" s="26"/>
      <c r="L39" s="34"/>
      <c r="M39" s="4"/>
      <c r="N39" s="4"/>
      <c r="O39" s="77"/>
      <c r="P39" s="27"/>
      <c r="Q39" s="27"/>
      <c r="R39" s="27"/>
      <c r="S39" s="4"/>
      <c r="T39" s="17"/>
    </row>
    <row r="40" spans="1:20" ht="11.25" customHeight="1">
      <c r="A40" s="1"/>
      <c r="B40" s="4"/>
      <c r="C40" s="27"/>
      <c r="D40" s="27"/>
      <c r="E40" s="25"/>
      <c r="F40" s="26"/>
      <c r="G40" s="32"/>
      <c r="H40" s="37"/>
      <c r="I40" s="33"/>
      <c r="J40" s="33"/>
      <c r="K40" s="33"/>
      <c r="L40" s="27"/>
      <c r="M40" s="4"/>
      <c r="N40" s="4"/>
      <c r="O40" s="4"/>
      <c r="P40" s="26"/>
      <c r="Q40" s="27"/>
      <c r="R40" s="27"/>
      <c r="S40" s="4"/>
      <c r="T40" s="17"/>
    </row>
    <row r="41" spans="1:20" ht="11.25" customHeight="1">
      <c r="A41" s="1"/>
      <c r="B41" s="4"/>
      <c r="C41" s="26"/>
      <c r="D41" s="27"/>
      <c r="E41" s="29"/>
      <c r="F41" s="29"/>
      <c r="G41" s="18"/>
      <c r="H41" s="48"/>
      <c r="I41" s="26"/>
      <c r="J41" s="26"/>
      <c r="K41" s="33"/>
      <c r="L41" s="46"/>
      <c r="M41" s="4"/>
      <c r="N41" s="4"/>
      <c r="O41" s="4"/>
      <c r="P41" s="26"/>
      <c r="Q41" s="27"/>
      <c r="R41" s="27"/>
      <c r="S41" s="4"/>
      <c r="T41" s="17"/>
    </row>
    <row r="42" spans="1:20" ht="11.25" customHeight="1">
      <c r="A42" s="1"/>
      <c r="B42" s="4"/>
      <c r="C42" s="32"/>
      <c r="D42" s="38"/>
      <c r="E42" s="31"/>
      <c r="F42" s="4"/>
      <c r="G42" s="27"/>
      <c r="H42" s="27"/>
      <c r="I42" s="27"/>
      <c r="J42" s="27"/>
      <c r="K42" s="27"/>
      <c r="L42" s="49"/>
      <c r="M42" s="72"/>
      <c r="N42" s="72"/>
      <c r="O42" s="4"/>
      <c r="P42" s="26"/>
      <c r="Q42" s="27"/>
      <c r="R42" s="27"/>
      <c r="S42" s="4"/>
      <c r="T42" s="17"/>
    </row>
    <row r="43" spans="1:19" ht="11.25" customHeight="1">
      <c r="A43" s="45"/>
      <c r="B43" s="4"/>
      <c r="C43" s="25"/>
      <c r="D43" s="26"/>
      <c r="E43" s="26"/>
      <c r="F43" s="49"/>
      <c r="G43" s="27"/>
      <c r="H43" s="27"/>
      <c r="I43" s="27"/>
      <c r="J43" s="27"/>
      <c r="K43" s="27"/>
      <c r="L43" s="45"/>
      <c r="M43" s="45"/>
      <c r="N43" s="45"/>
      <c r="O43" s="4"/>
      <c r="P43" s="26"/>
      <c r="Q43" s="27"/>
      <c r="R43" s="27"/>
      <c r="S43" s="4"/>
    </row>
    <row r="44" spans="1:19" ht="11.25" customHeight="1">
      <c r="A44" s="45"/>
      <c r="B44" s="4"/>
      <c r="C44" s="26"/>
      <c r="D44" s="27" t="s">
        <v>0</v>
      </c>
      <c r="E44" s="29"/>
      <c r="F44" s="45"/>
      <c r="G44" s="49"/>
      <c r="H44" s="49"/>
      <c r="I44" s="49"/>
      <c r="J44" s="4"/>
      <c r="K44" s="3"/>
      <c r="L44" s="22"/>
      <c r="M44" s="49"/>
      <c r="N44" s="49"/>
      <c r="O44" s="45"/>
      <c r="P44" s="26"/>
      <c r="Q44" s="27"/>
      <c r="R44" s="27"/>
      <c r="S44" s="45"/>
    </row>
    <row r="45" spans="1:19" ht="11.25" customHeight="1">
      <c r="A45" s="45"/>
      <c r="B45" s="4"/>
      <c r="C45" s="4"/>
      <c r="D45" s="4"/>
      <c r="E45" s="4"/>
      <c r="F45" s="45"/>
      <c r="G45" s="45"/>
      <c r="H45" s="45"/>
      <c r="I45" s="49"/>
      <c r="J45" s="49"/>
      <c r="K45" s="49"/>
      <c r="L45" s="45"/>
      <c r="M45" s="45"/>
      <c r="N45" s="45"/>
      <c r="O45" s="45"/>
      <c r="P45" s="26"/>
      <c r="Q45" s="27"/>
      <c r="R45" s="27"/>
      <c r="S45" s="45"/>
    </row>
    <row r="46" spans="1:19" ht="11.25" customHeight="1">
      <c r="A46" s="45"/>
      <c r="B46" s="49"/>
      <c r="C46" s="49"/>
      <c r="D46" s="49"/>
      <c r="E46" s="49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27"/>
      <c r="Q46" s="27"/>
      <c r="R46" s="27"/>
      <c r="S46" s="45"/>
    </row>
    <row r="47" spans="1:19" ht="11.25" customHeight="1">
      <c r="A47" s="45"/>
      <c r="B47" s="49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125"/>
      <c r="Q47" s="125"/>
      <c r="R47" s="125"/>
      <c r="S47" s="45"/>
    </row>
    <row r="48" spans="1:19" ht="11.25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"/>
      <c r="Q48" s="4"/>
      <c r="R48" s="4"/>
      <c r="S48" s="45"/>
    </row>
    <row r="49" spans="1:19" ht="11.2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"/>
      <c r="Q49" s="4"/>
      <c r="R49" s="4"/>
      <c r="S49" s="45"/>
    </row>
    <row r="50" spans="1:19" ht="11.2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"/>
      <c r="Q50" s="4"/>
      <c r="R50" s="45"/>
      <c r="S50" s="45"/>
    </row>
    <row r="51" spans="1:19" ht="11.2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</row>
    <row r="52" spans="1:19" ht="11.2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</row>
    <row r="53" spans="1:19" ht="11.2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</row>
    <row r="54" spans="1:19" ht="11.2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</row>
    <row r="55" spans="1:19" ht="11.2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</row>
    <row r="56" spans="1:19" ht="11.2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7" spans="1:19" ht="11.2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</row>
    <row r="58" spans="1:19" ht="11.2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</row>
    <row r="59" spans="1:19" ht="11.2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</row>
    <row r="60" spans="1:19" ht="11.2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</row>
    <row r="61" spans="1:19" ht="11.2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</row>
    <row r="62" spans="1:19" ht="11.2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</row>
    <row r="63" spans="1:19" ht="11.2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1:19" ht="11.2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</row>
    <row r="65" spans="1:19" ht="11.25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</row>
    <row r="66" spans="1:19" ht="11.25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</row>
    <row r="67" spans="1:19" ht="11.25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</row>
    <row r="68" spans="1:19" ht="11.25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</row>
    <row r="69" spans="1:19" ht="11.25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</row>
    <row r="70" spans="1:19" ht="11.25" customHeight="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</row>
    <row r="71" spans="1:19" ht="11.25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</row>
    <row r="72" spans="1:19" ht="11.25" customHeight="1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</row>
    <row r="73" spans="1:19" ht="11.25" customHeight="1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</row>
    <row r="74" spans="1:19" ht="11.25" customHeight="1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</row>
    <row r="75" spans="1:19" ht="11.25" customHeight="1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</row>
    <row r="76" spans="1:19" ht="11.25" customHeight="1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</row>
    <row r="77" spans="1:19" ht="11.25" customHeight="1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</row>
    <row r="78" spans="1:19" ht="11.25" customHeight="1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</row>
    <row r="79" spans="1:19" ht="11.25" customHeight="1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</row>
    <row r="80" spans="1:19" ht="11.25" customHeight="1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</row>
    <row r="81" spans="1:19" ht="11.25" customHeight="1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</row>
    <row r="82" spans="1:19" ht="11.25" customHeight="1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</row>
    <row r="83" spans="1:19" ht="11.25" customHeight="1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</row>
    <row r="84" spans="1:19" ht="11.25" customHeight="1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</row>
    <row r="85" spans="1:19" ht="11.25" customHeight="1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</row>
    <row r="86" spans="1:19" ht="11.25" customHeight="1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</row>
    <row r="87" spans="1:19" ht="11.25" customHeight="1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</row>
    <row r="88" spans="1:19" ht="11.25" customHeight="1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</row>
    <row r="89" spans="1:19" ht="11.25" customHeight="1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</row>
    <row r="90" spans="1:19" ht="11.25" customHeight="1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6"/>
      <c r="P90" s="45"/>
      <c r="Q90" s="45"/>
      <c r="R90" s="45"/>
      <c r="S90" s="45"/>
    </row>
    <row r="91" spans="1:19" ht="11.25" customHeight="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50"/>
      <c r="P91" s="45"/>
      <c r="Q91" s="45"/>
      <c r="R91" s="45"/>
      <c r="S91" s="45"/>
    </row>
    <row r="92" spans="1:19" ht="11.25" customHeight="1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</row>
    <row r="93" spans="1:19" ht="11.25" customHeight="1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</row>
    <row r="94" spans="1:19" ht="11.25" customHeight="1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</row>
    <row r="95" spans="1:19" ht="11.25" customHeight="1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</row>
    <row r="96" spans="1:19" ht="11.25" customHeight="1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</row>
    <row r="97" spans="1:19" ht="11.25" customHeight="1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</row>
    <row r="98" spans="1:19" ht="11.25" customHeight="1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</row>
    <row r="99" spans="1:19" ht="11.25" customHeight="1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</row>
    <row r="100" spans="1:19" ht="11.25" customHeight="1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</row>
    <row r="101" spans="1:19" ht="11.25" customHeight="1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</row>
    <row r="102" spans="1:19" ht="14.2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</row>
    <row r="103" spans="2:18" ht="14.25">
      <c r="B103" s="45"/>
      <c r="C103" s="45"/>
      <c r="D103" s="45"/>
      <c r="E103" s="45"/>
      <c r="G103" s="45"/>
      <c r="H103" s="45"/>
      <c r="I103" s="45"/>
      <c r="J103" s="45"/>
      <c r="K103" s="45"/>
      <c r="P103" s="45"/>
      <c r="Q103" s="45"/>
      <c r="R103" s="45"/>
    </row>
    <row r="104" spans="2:18" ht="14.25">
      <c r="B104" s="45"/>
      <c r="C104" s="45"/>
      <c r="D104" s="45"/>
      <c r="E104" s="45"/>
      <c r="G104" s="45"/>
      <c r="H104" s="45"/>
      <c r="I104" s="45"/>
      <c r="J104" s="45"/>
      <c r="K104" s="45"/>
      <c r="P104" s="45"/>
      <c r="Q104" s="45"/>
      <c r="R104" s="45"/>
    </row>
    <row r="105" spans="2:18" ht="14.25">
      <c r="B105" s="45"/>
      <c r="C105" s="45"/>
      <c r="D105" s="45"/>
      <c r="E105" s="45"/>
      <c r="P105" s="45"/>
      <c r="Q105" s="45"/>
      <c r="R105" s="45"/>
    </row>
    <row r="106" spans="16:18" ht="14.25">
      <c r="P106" s="45"/>
      <c r="Q106" s="45"/>
      <c r="R106" s="45"/>
    </row>
    <row r="107" spans="16:18" ht="14.25">
      <c r="P107" s="45"/>
      <c r="Q107" s="45"/>
      <c r="R107" s="45"/>
    </row>
    <row r="108" spans="16:18" ht="14.25">
      <c r="P108" s="45"/>
      <c r="Q108" s="45"/>
      <c r="R108" s="45"/>
    </row>
    <row r="109" spans="16:17" ht="14.25">
      <c r="P109" s="45"/>
      <c r="Q109" s="45"/>
    </row>
  </sheetData>
  <sheetProtection pivotTables="0"/>
  <mergeCells count="20">
    <mergeCell ref="P47:R47"/>
    <mergeCell ref="P9:R9"/>
    <mergeCell ref="P10:Q10"/>
    <mergeCell ref="P27:R27"/>
    <mergeCell ref="P29:R29"/>
    <mergeCell ref="P32:R32"/>
    <mergeCell ref="B3:M3"/>
    <mergeCell ref="L5:L8"/>
    <mergeCell ref="M5:M8"/>
    <mergeCell ref="H12:K12"/>
    <mergeCell ref="B11:E11"/>
    <mergeCell ref="B26:E26"/>
    <mergeCell ref="K5:K8"/>
    <mergeCell ref="H38:J38"/>
    <mergeCell ref="H13:I13"/>
    <mergeCell ref="H14:I14"/>
    <mergeCell ref="H27:K27"/>
    <mergeCell ref="H28:I28"/>
    <mergeCell ref="H29:I29"/>
    <mergeCell ref="H23:J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JYMRIOT</dc:creator>
  <cp:keywords/>
  <dc:description/>
  <cp:lastModifiedBy>chantal</cp:lastModifiedBy>
  <cp:lastPrinted>2017-08-15T12:42:53Z</cp:lastPrinted>
  <dcterms:created xsi:type="dcterms:W3CDTF">2011-01-01T19:04:37Z</dcterms:created>
  <dcterms:modified xsi:type="dcterms:W3CDTF">2022-08-15T13:16:01Z</dcterms:modified>
  <cp:category/>
  <cp:version/>
  <cp:contentType/>
  <cp:contentStatus/>
</cp:coreProperties>
</file>